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Simon Britcliffe\Screen Excellence Ltd\Jaro Pollanen - Screen Excellence Ltd\Products\Screen Excellence\screen dimension calculators\"/>
    </mc:Choice>
  </mc:AlternateContent>
  <xr:revisionPtr revIDLastSave="0" documentId="11_DC50B2FFE6D6C89F5F8075380006E3B2DD35DC6F" xr6:coauthVersionLast="28" xr6:coauthVersionMax="28" xr10:uidLastSave="{00000000-0000-0000-0000-000000000000}"/>
  <bookViews>
    <workbookView xWindow="0" yWindow="525" windowWidth="28800" windowHeight="15945" tabRatio="685" activeTab="10" xr2:uid="{00000000-000D-0000-FFFF-FFFF00000000}"/>
  </bookViews>
  <sheets>
    <sheet name="Instructions" sheetId="9" r:id="rId1"/>
    <sheet name="FullScreen" sheetId="20" r:id="rId2"/>
    <sheet name="Slim" sheetId="4" r:id="rId3"/>
    <sheet name="Contrast" sheetId="14" r:id="rId4"/>
    <sheet name="Contrast Advanced" sheetId="24" r:id="rId5"/>
    <sheet name="Reference" sheetId="3" r:id="rId6"/>
    <sheet name="Reference Advanced" sheetId="25" r:id="rId7"/>
    <sheet name="VistaCurve" sheetId="7" r:id="rId8"/>
    <sheet name="RST" sheetId="13" r:id="rId9"/>
    <sheet name="RST In Ceiling" sheetId="18" r:id="rId10"/>
    <sheet name="MediaTime" sheetId="26" r:id="rId11"/>
    <sheet name="RM2T" sheetId="6" r:id="rId12"/>
    <sheet name="MFR HD" sheetId="22" r:id="rId13"/>
    <sheet name="MFR WS" sheetId="23" r:id="rId14"/>
    <sheet name="TAM 1" sheetId="10" r:id="rId15"/>
    <sheet name="TAM TB" sheetId="2" r:id="rId16"/>
    <sheet name="TAM2-L" sheetId="11" r:id="rId17"/>
    <sheet name="TAM FC" sheetId="8" r:id="rId18"/>
    <sheet name="Absolute" sheetId="5" r:id="rId19"/>
    <sheet name="TAM-4" sheetId="19" r:id="rId20"/>
    <sheet name="Movie Partner Bordered" sheetId="15" r:id="rId21"/>
    <sheet name="Movie Partner Borderless" sheetId="17" r:id="rId22"/>
  </sheets>
  <definedNames>
    <definedName name="_xlnm.Print_Area" localSheetId="18">Absolute!$A$1:$K$70</definedName>
    <definedName name="_xlnm.Print_Area" localSheetId="3">Contrast!$A$1:$K$65</definedName>
    <definedName name="_xlnm.Print_Area" localSheetId="4">'Contrast Advanced'!$A$1:$K$65</definedName>
    <definedName name="_xlnm.Print_Area" localSheetId="1">FullScreen!$A$1:$K$55</definedName>
    <definedName name="_xlnm.Print_Area" localSheetId="10">MediaTime!$A$1:$L$69</definedName>
    <definedName name="_xlnm.Print_Area" localSheetId="12">'MFR HD'!$A$1:$L$62</definedName>
    <definedName name="_xlnm.Print_Area" localSheetId="13">'MFR WS'!$A$1:$L$62</definedName>
    <definedName name="_xlnm.Print_Area" localSheetId="20">'Movie Partner Bordered'!$A$1:$K$52</definedName>
    <definedName name="_xlnm.Print_Area" localSheetId="21">'Movie Partner Borderless'!$A$1:$K$55</definedName>
    <definedName name="_xlnm.Print_Area" localSheetId="5">Reference!$A$1:$K$57</definedName>
    <definedName name="_xlnm.Print_Area" localSheetId="6">'Reference Advanced'!$A$1:$K$56</definedName>
    <definedName name="_xlnm.Print_Area" localSheetId="11">RM2T!$A$1:$L$69</definedName>
    <definedName name="_xlnm.Print_Area" localSheetId="8">RST!$A$1:$L$54</definedName>
    <definedName name="_xlnm.Print_Area" localSheetId="9">'RST In Ceiling'!$A$1:$L$86</definedName>
    <definedName name="_xlnm.Print_Area" localSheetId="2">Slim!$A$1:$K$55</definedName>
    <definedName name="_xlnm.Print_Area" localSheetId="14">'TAM 1'!$A$1:$K$62</definedName>
    <definedName name="_xlnm.Print_Area" localSheetId="17">'TAM FC'!$A$1:$K$62</definedName>
    <definedName name="_xlnm.Print_Area" localSheetId="15">'TAM TB'!$A$1:$K$61</definedName>
    <definedName name="_xlnm.Print_Area" localSheetId="16">'TAM2-L'!$A$1:$K$63</definedName>
    <definedName name="_xlnm.Print_Area" localSheetId="19">'TAM-4'!$A$1:$K$54</definedName>
    <definedName name="_xlnm.Print_Area" localSheetId="7">VistaCurve!$A$1:$K$67</definedName>
  </definedName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1" i="13" l="1"/>
  <c r="E20" i="13" s="1"/>
  <c r="A8" i="13"/>
  <c r="A23" i="13"/>
  <c r="C31" i="25"/>
  <c r="E29" i="25" s="1"/>
  <c r="C34" i="20"/>
  <c r="C30" i="2"/>
  <c r="C32" i="2"/>
  <c r="B32" i="2" s="1"/>
  <c r="E33" i="2"/>
  <c r="C34" i="2"/>
  <c r="B34" i="2" s="1"/>
  <c r="A23" i="23"/>
  <c r="A26" i="22"/>
  <c r="A26" i="6"/>
  <c r="A26" i="26"/>
  <c r="E34" i="26"/>
  <c r="E28" i="26"/>
  <c r="F28" i="26"/>
  <c r="E31" i="26"/>
  <c r="B50" i="26" s="1"/>
  <c r="E41" i="26"/>
  <c r="E40" i="26"/>
  <c r="B35" i="26"/>
  <c r="C31" i="26"/>
  <c r="C34" i="26"/>
  <c r="B34" i="26" s="1"/>
  <c r="J6" i="26"/>
  <c r="J7" i="26" s="1"/>
  <c r="A8" i="26"/>
  <c r="C32" i="26"/>
  <c r="B32" i="26" s="1"/>
  <c r="B31" i="26"/>
  <c r="B30" i="26"/>
  <c r="A2" i="26" s="1"/>
  <c r="H29" i="26"/>
  <c r="D15" i="26"/>
  <c r="L15" i="26" s="1"/>
  <c r="L16" i="26"/>
  <c r="F18" i="26"/>
  <c r="F19" i="26" s="1"/>
  <c r="D16" i="26"/>
  <c r="E11" i="26"/>
  <c r="E12" i="26" s="1"/>
  <c r="A9" i="26"/>
  <c r="K3" i="26"/>
  <c r="K4" i="26"/>
  <c r="E4" i="26"/>
  <c r="F4" i="26" s="1"/>
  <c r="C32" i="25"/>
  <c r="E26" i="25" s="1"/>
  <c r="E41" i="25"/>
  <c r="E40" i="25"/>
  <c r="B35" i="25"/>
  <c r="C34" i="25"/>
  <c r="B34" i="25" s="1"/>
  <c r="B32" i="25"/>
  <c r="B30" i="25"/>
  <c r="H29" i="25"/>
  <c r="K25" i="25"/>
  <c r="K26" i="25" s="1"/>
  <c r="D11" i="25"/>
  <c r="D12" i="25" s="1"/>
  <c r="E5" i="25"/>
  <c r="E6" i="25"/>
  <c r="A2" i="25"/>
  <c r="C32" i="24"/>
  <c r="E26" i="24"/>
  <c r="E52" i="24"/>
  <c r="E51" i="24"/>
  <c r="E50" i="24"/>
  <c r="G45" i="24"/>
  <c r="G44" i="24"/>
  <c r="G43" i="24"/>
  <c r="G42" i="24"/>
  <c r="G41" i="24"/>
  <c r="G40" i="24"/>
  <c r="B35" i="24"/>
  <c r="C31" i="24"/>
  <c r="C34" i="24"/>
  <c r="B34" i="24"/>
  <c r="C33" i="24"/>
  <c r="B31" i="24"/>
  <c r="B30" i="24"/>
  <c r="A2" i="24" s="1"/>
  <c r="H29" i="24"/>
  <c r="K25" i="24"/>
  <c r="K26" i="24"/>
  <c r="F14" i="24"/>
  <c r="F15" i="24"/>
  <c r="D11" i="24"/>
  <c r="D12" i="24"/>
  <c r="E5" i="24"/>
  <c r="E6" i="24"/>
  <c r="E31" i="23"/>
  <c r="B50" i="23" s="1"/>
  <c r="E41" i="23"/>
  <c r="E40" i="23"/>
  <c r="B35" i="23"/>
  <c r="E34" i="23"/>
  <c r="E24" i="23"/>
  <c r="F24" i="23"/>
  <c r="C31" i="23"/>
  <c r="J6" i="23"/>
  <c r="C33" i="23"/>
  <c r="A7" i="23"/>
  <c r="A8" i="23"/>
  <c r="C32" i="23"/>
  <c r="B32" i="23"/>
  <c r="B30" i="23"/>
  <c r="H29" i="23"/>
  <c r="D15" i="23"/>
  <c r="L15" i="23" s="1"/>
  <c r="L16" i="23"/>
  <c r="H19" i="23"/>
  <c r="H20" i="23"/>
  <c r="D16" i="23"/>
  <c r="E12" i="23"/>
  <c r="E13" i="23" s="1"/>
  <c r="K3" i="23"/>
  <c r="K4" i="23"/>
  <c r="E4" i="23"/>
  <c r="F4" i="23" s="1"/>
  <c r="A2" i="23"/>
  <c r="E31" i="22"/>
  <c r="B50" i="22"/>
  <c r="E41" i="22"/>
  <c r="E40" i="22"/>
  <c r="B35" i="22"/>
  <c r="E34" i="22"/>
  <c r="E28" i="22" s="1"/>
  <c r="F28" i="22"/>
  <c r="C31" i="22"/>
  <c r="C34" i="22" s="1"/>
  <c r="J6" i="22"/>
  <c r="J7" i="22"/>
  <c r="A8" i="22"/>
  <c r="A9" i="22" s="1"/>
  <c r="C32" i="22"/>
  <c r="B32" i="22"/>
  <c r="B30" i="22"/>
  <c r="A2" i="22" s="1"/>
  <c r="H29" i="22"/>
  <c r="E23" i="22"/>
  <c r="E24" i="22" s="1"/>
  <c r="H18" i="22"/>
  <c r="H19" i="22"/>
  <c r="K3" i="22"/>
  <c r="K4" i="22"/>
  <c r="E4" i="22"/>
  <c r="F4" i="22" s="1"/>
  <c r="B29" i="7"/>
  <c r="A2" i="7" s="1"/>
  <c r="C34" i="7"/>
  <c r="K25" i="7" s="1"/>
  <c r="B30" i="13"/>
  <c r="A2" i="13" s="1"/>
  <c r="B35" i="15"/>
  <c r="B30" i="5"/>
  <c r="C35" i="5"/>
  <c r="K25" i="5" s="1"/>
  <c r="K26" i="5" s="1"/>
  <c r="C30" i="20"/>
  <c r="E28" i="20"/>
  <c r="C31" i="5"/>
  <c r="C33" i="5" s="1"/>
  <c r="C31" i="8"/>
  <c r="E29" i="8"/>
  <c r="C33" i="8"/>
  <c r="B33" i="8" s="1"/>
  <c r="C30" i="7"/>
  <c r="E28" i="7"/>
  <c r="C31" i="3"/>
  <c r="C34" i="3" s="1"/>
  <c r="C30" i="4"/>
  <c r="E28" i="4" s="1"/>
  <c r="B30" i="3"/>
  <c r="A2" i="3"/>
  <c r="C32" i="5"/>
  <c r="B32" i="5" s="1"/>
  <c r="C32" i="8"/>
  <c r="B59" i="8"/>
  <c r="C31" i="2"/>
  <c r="E26" i="2" s="1"/>
  <c r="B58" i="2"/>
  <c r="C31" i="11"/>
  <c r="C30" i="11"/>
  <c r="C32" i="11"/>
  <c r="G49" i="11"/>
  <c r="G48" i="10"/>
  <c r="G43" i="14"/>
  <c r="G42" i="14"/>
  <c r="C31" i="20"/>
  <c r="B31" i="20" s="1"/>
  <c r="E40" i="20"/>
  <c r="E39" i="20"/>
  <c r="B34" i="20"/>
  <c r="C33" i="20"/>
  <c r="C32" i="20"/>
  <c r="B30" i="20"/>
  <c r="B29" i="20"/>
  <c r="A2" i="20" s="1"/>
  <c r="H28" i="20"/>
  <c r="K25" i="20"/>
  <c r="K26" i="20" s="1"/>
  <c r="D11" i="20"/>
  <c r="D12" i="20" s="1"/>
  <c r="E5" i="20"/>
  <c r="E6" i="20" s="1"/>
  <c r="E5" i="8"/>
  <c r="D11" i="8"/>
  <c r="D12" i="8" s="1"/>
  <c r="C34" i="8"/>
  <c r="F7" i="5"/>
  <c r="F8" i="5"/>
  <c r="E32" i="5"/>
  <c r="E20" i="5" s="1"/>
  <c r="E21" i="5" s="1"/>
  <c r="C30" i="19"/>
  <c r="E28" i="19"/>
  <c r="C32" i="19"/>
  <c r="B32" i="19" s="1"/>
  <c r="C31" i="19"/>
  <c r="B51" i="19"/>
  <c r="G41" i="19"/>
  <c r="K25" i="19"/>
  <c r="K26" i="19" s="1"/>
  <c r="G40" i="19"/>
  <c r="F8" i="19"/>
  <c r="B34" i="19"/>
  <c r="B29" i="19"/>
  <c r="A2" i="19"/>
  <c r="H28" i="19"/>
  <c r="D11" i="19"/>
  <c r="D12" i="19" s="1"/>
  <c r="F9" i="19"/>
  <c r="B32" i="18"/>
  <c r="A2" i="18"/>
  <c r="E33" i="18"/>
  <c r="B53" i="18"/>
  <c r="E43" i="18"/>
  <c r="E42" i="18"/>
  <c r="B37" i="18"/>
  <c r="C33" i="18"/>
  <c r="C18" i="18" s="1"/>
  <c r="J7" i="18"/>
  <c r="A10" i="18"/>
  <c r="A11" i="18" s="1"/>
  <c r="B33" i="18"/>
  <c r="H31" i="18"/>
  <c r="J8" i="18"/>
  <c r="E14" i="18"/>
  <c r="E15" i="18" s="1"/>
  <c r="K4" i="18"/>
  <c r="K5" i="18"/>
  <c r="E40" i="17"/>
  <c r="E39" i="17"/>
  <c r="E41" i="15"/>
  <c r="E40" i="15"/>
  <c r="C31" i="15"/>
  <c r="C33" i="15" s="1"/>
  <c r="B33" i="15" s="1"/>
  <c r="C30" i="17"/>
  <c r="B30" i="17"/>
  <c r="C31" i="17"/>
  <c r="E26" i="17"/>
  <c r="E27" i="17" s="1"/>
  <c r="B34" i="17"/>
  <c r="C33" i="17"/>
  <c r="F14" i="17" s="1"/>
  <c r="B33" i="17"/>
  <c r="C32" i="17"/>
  <c r="B31" i="17"/>
  <c r="B29" i="17"/>
  <c r="A2" i="17"/>
  <c r="H28" i="17"/>
  <c r="K25" i="17"/>
  <c r="K26" i="17" s="1"/>
  <c r="E5" i="17"/>
  <c r="E6" i="17" s="1"/>
  <c r="C32" i="15"/>
  <c r="E26" i="15" s="1"/>
  <c r="E27" i="15" s="1"/>
  <c r="B30" i="15"/>
  <c r="H29" i="15"/>
  <c r="K25" i="15"/>
  <c r="K26" i="15"/>
  <c r="D11" i="15"/>
  <c r="D12" i="15" s="1"/>
  <c r="E5" i="15"/>
  <c r="E6" i="15"/>
  <c r="A2" i="15"/>
  <c r="G45" i="14"/>
  <c r="G41" i="14"/>
  <c r="G44" i="14"/>
  <c r="G40" i="14"/>
  <c r="G50" i="11"/>
  <c r="G48" i="11"/>
  <c r="G49" i="2"/>
  <c r="G47" i="2"/>
  <c r="G47" i="10"/>
  <c r="C30" i="10"/>
  <c r="B30" i="10"/>
  <c r="C31" i="14"/>
  <c r="B31" i="14" s="1"/>
  <c r="E51" i="14"/>
  <c r="E31" i="6"/>
  <c r="C32" i="6" s="1"/>
  <c r="B32" i="6" s="1"/>
  <c r="B50" i="6"/>
  <c r="E31" i="13"/>
  <c r="B51" i="13"/>
  <c r="C31" i="4"/>
  <c r="E26" i="4"/>
  <c r="E52" i="14"/>
  <c r="E50" i="14"/>
  <c r="A2" i="5"/>
  <c r="F8" i="10"/>
  <c r="D38" i="10" s="1"/>
  <c r="C38" i="10" s="1"/>
  <c r="E38" i="10" s="1"/>
  <c r="F38" i="10" s="1"/>
  <c r="C42" i="11"/>
  <c r="D42" i="11" s="1"/>
  <c r="C41" i="11"/>
  <c r="D41" i="11"/>
  <c r="F41" i="11" s="1"/>
  <c r="C39" i="11"/>
  <c r="D39" i="11" s="1"/>
  <c r="C38" i="11"/>
  <c r="D38" i="11" s="1"/>
  <c r="F8" i="2"/>
  <c r="F46" i="5"/>
  <c r="G46" i="5" s="1"/>
  <c r="H46" i="5" s="1"/>
  <c r="E40" i="4"/>
  <c r="E39" i="4"/>
  <c r="E41" i="3"/>
  <c r="E40" i="3"/>
  <c r="E40" i="7"/>
  <c r="E39" i="7"/>
  <c r="E41" i="13"/>
  <c r="E40" i="13"/>
  <c r="E40" i="6"/>
  <c r="G49" i="10"/>
  <c r="E56" i="5"/>
  <c r="E49" i="8"/>
  <c r="E41" i="6"/>
  <c r="K3" i="13"/>
  <c r="K4" i="13" s="1"/>
  <c r="C32" i="14"/>
  <c r="E26" i="14" s="1"/>
  <c r="E27" i="14" s="1"/>
  <c r="B62" i="14"/>
  <c r="B35" i="14"/>
  <c r="B32" i="14"/>
  <c r="B30" i="14"/>
  <c r="H29" i="14"/>
  <c r="K25" i="14"/>
  <c r="K26" i="14" s="1"/>
  <c r="E5" i="14"/>
  <c r="E6" i="14" s="1"/>
  <c r="A2" i="14"/>
  <c r="C32" i="13"/>
  <c r="E34" i="13" s="1"/>
  <c r="J6" i="13"/>
  <c r="C33" i="13"/>
  <c r="J15" i="13" s="1"/>
  <c r="J16" i="13" s="1"/>
  <c r="J7" i="13"/>
  <c r="B35" i="13"/>
  <c r="C34" i="13"/>
  <c r="B31" i="13"/>
  <c r="H29" i="13"/>
  <c r="E12" i="13"/>
  <c r="E13" i="13" s="1"/>
  <c r="A9" i="13"/>
  <c r="E4" i="13"/>
  <c r="F4" i="13"/>
  <c r="C32" i="3"/>
  <c r="E26" i="3" s="1"/>
  <c r="C31" i="6"/>
  <c r="J6" i="6"/>
  <c r="C33" i="6" s="1"/>
  <c r="B33" i="6" s="1"/>
  <c r="A8" i="6"/>
  <c r="D15" i="6"/>
  <c r="E34" i="6"/>
  <c r="E28" i="6" s="1"/>
  <c r="F28" i="6" s="1"/>
  <c r="B29" i="4"/>
  <c r="A2" i="4"/>
  <c r="B30" i="6"/>
  <c r="A2" i="6" s="1"/>
  <c r="H29" i="3"/>
  <c r="D11" i="11"/>
  <c r="D12" i="11" s="1"/>
  <c r="K25" i="11"/>
  <c r="K26" i="11" s="1"/>
  <c r="E5" i="11"/>
  <c r="B34" i="11"/>
  <c r="C33" i="11"/>
  <c r="B33" i="11" s="1"/>
  <c r="E31" i="11"/>
  <c r="E21" i="11"/>
  <c r="B30" i="11"/>
  <c r="B29" i="11"/>
  <c r="H28" i="11"/>
  <c r="E22" i="11"/>
  <c r="F14" i="11"/>
  <c r="F15" i="11" s="1"/>
  <c r="E6" i="11"/>
  <c r="A2" i="11"/>
  <c r="K25" i="10"/>
  <c r="K26" i="10" s="1"/>
  <c r="C31" i="10"/>
  <c r="E26" i="10" s="1"/>
  <c r="E27" i="10" s="1"/>
  <c r="B34" i="10"/>
  <c r="E31" i="10"/>
  <c r="H13" i="10" s="1"/>
  <c r="H14" i="10" s="1"/>
  <c r="B29" i="10"/>
  <c r="A2" i="10"/>
  <c r="H28" i="10"/>
  <c r="E4" i="6"/>
  <c r="F4" i="6" s="1"/>
  <c r="K25" i="8"/>
  <c r="E26" i="8"/>
  <c r="E27" i="8" s="1"/>
  <c r="C44" i="8"/>
  <c r="E44" i="8" s="1"/>
  <c r="C43" i="8"/>
  <c r="E43" i="8" s="1"/>
  <c r="G43" i="8" s="1"/>
  <c r="C42" i="8"/>
  <c r="E42" i="8" s="1"/>
  <c r="C41" i="8"/>
  <c r="E41" i="8"/>
  <c r="D41" i="8"/>
  <c r="C40" i="8"/>
  <c r="E40" i="8"/>
  <c r="G40" i="8"/>
  <c r="D40" i="8"/>
  <c r="C39" i="8"/>
  <c r="E39" i="8"/>
  <c r="B35" i="8"/>
  <c r="B32" i="8"/>
  <c r="B31" i="8"/>
  <c r="B30" i="8"/>
  <c r="A2" i="8"/>
  <c r="H29" i="8"/>
  <c r="K26" i="8"/>
  <c r="K25" i="2"/>
  <c r="K26" i="2" s="1"/>
  <c r="H29" i="6"/>
  <c r="H28" i="4"/>
  <c r="H28" i="7"/>
  <c r="H29" i="5"/>
  <c r="H28" i="2"/>
  <c r="B34" i="7"/>
  <c r="C32" i="7"/>
  <c r="B32" i="7" s="1"/>
  <c r="C31" i="7"/>
  <c r="B31" i="7" s="1"/>
  <c r="B30" i="7"/>
  <c r="K26" i="7"/>
  <c r="J13" i="7"/>
  <c r="J14" i="7" s="1"/>
  <c r="B11" i="7"/>
  <c r="B12" i="7"/>
  <c r="E7" i="7"/>
  <c r="E8" i="7" s="1"/>
  <c r="A9" i="6"/>
  <c r="B35" i="6"/>
  <c r="C34" i="6"/>
  <c r="B34" i="6" s="1"/>
  <c r="B31" i="6"/>
  <c r="K3" i="6"/>
  <c r="K4" i="6" s="1"/>
  <c r="F18" i="6"/>
  <c r="F19" i="6" s="1"/>
  <c r="E11" i="6"/>
  <c r="E12" i="6" s="1"/>
  <c r="B29" i="2"/>
  <c r="A2" i="2"/>
  <c r="B35" i="5"/>
  <c r="B34" i="4"/>
  <c r="K25" i="4"/>
  <c r="K26" i="4" s="1"/>
  <c r="E5" i="4"/>
  <c r="E6" i="4" s="1"/>
  <c r="B35" i="3"/>
  <c r="B34" i="3"/>
  <c r="B32" i="3"/>
  <c r="K25" i="3"/>
  <c r="K26" i="3" s="1"/>
  <c r="D11" i="3"/>
  <c r="D12" i="3"/>
  <c r="E5" i="3"/>
  <c r="E6" i="3" s="1"/>
  <c r="E31" i="2"/>
  <c r="H13" i="2"/>
  <c r="H14" i="2"/>
  <c r="C33" i="2"/>
  <c r="B33" i="2" s="1"/>
  <c r="B31" i="2"/>
  <c r="B30" i="2"/>
  <c r="E27" i="2"/>
  <c r="J13" i="2"/>
  <c r="J14" i="2" s="1"/>
  <c r="D11" i="2"/>
  <c r="D12" i="2" s="1"/>
  <c r="D39" i="2"/>
  <c r="C39" i="2"/>
  <c r="E39" i="2" s="1"/>
  <c r="F39" i="2" s="1"/>
  <c r="D40" i="2"/>
  <c r="C40" i="2"/>
  <c r="E40" i="2" s="1"/>
  <c r="F40" i="2" s="1"/>
  <c r="D41" i="2"/>
  <c r="C41" i="2"/>
  <c r="E41" i="2" s="1"/>
  <c r="F41" i="2" s="1"/>
  <c r="D42" i="2"/>
  <c r="C42" i="2"/>
  <c r="E42" i="2" s="1"/>
  <c r="F42" i="2" s="1"/>
  <c r="D38" i="2"/>
  <c r="C38" i="2"/>
  <c r="E38" i="2" s="1"/>
  <c r="F38" i="2" s="1"/>
  <c r="F9" i="2"/>
  <c r="E25" i="7"/>
  <c r="E26" i="7" s="1"/>
  <c r="J13" i="19"/>
  <c r="J14" i="19"/>
  <c r="B52" i="19"/>
  <c r="G41" i="8"/>
  <c r="B33" i="13"/>
  <c r="C33" i="10"/>
  <c r="D11" i="10"/>
  <c r="D12" i="10"/>
  <c r="C32" i="10"/>
  <c r="B59" i="2"/>
  <c r="F39" i="11"/>
  <c r="E39" i="11"/>
  <c r="B31" i="19"/>
  <c r="E26" i="19"/>
  <c r="E27" i="19"/>
  <c r="B61" i="11"/>
  <c r="B31" i="11"/>
  <c r="J13" i="17"/>
  <c r="J14" i="17"/>
  <c r="B32" i="17"/>
  <c r="B60" i="8"/>
  <c r="E26" i="11"/>
  <c r="E27" i="11"/>
  <c r="F17" i="13"/>
  <c r="F18" i="13" s="1"/>
  <c r="B34" i="13"/>
  <c r="D11" i="17"/>
  <c r="D12" i="17"/>
  <c r="F15" i="17"/>
  <c r="E4" i="18"/>
  <c r="F4" i="18" s="1"/>
  <c r="C34" i="18"/>
  <c r="B30" i="19"/>
  <c r="C33" i="19"/>
  <c r="F14" i="19" s="1"/>
  <c r="F15" i="19" s="1"/>
  <c r="J15" i="6"/>
  <c r="J16" i="6" s="1"/>
  <c r="B34" i="18"/>
  <c r="E36" i="18"/>
  <c r="J13" i="10"/>
  <c r="J14" i="10" s="1"/>
  <c r="B60" i="10"/>
  <c r="B32" i="10"/>
  <c r="F14" i="10"/>
  <c r="F15" i="10"/>
  <c r="B33" i="10"/>
  <c r="C32" i="4"/>
  <c r="B32" i="4"/>
  <c r="D11" i="4"/>
  <c r="D12" i="4" s="1"/>
  <c r="C33" i="4"/>
  <c r="F14" i="4"/>
  <c r="F15" i="4"/>
  <c r="B33" i="4"/>
  <c r="B30" i="4"/>
  <c r="E27" i="4"/>
  <c r="B52" i="4"/>
  <c r="B31" i="4"/>
  <c r="B32" i="20"/>
  <c r="J13" i="20"/>
  <c r="J14" i="20"/>
  <c r="B67" i="5"/>
  <c r="E26" i="5"/>
  <c r="E27" i="5"/>
  <c r="F9" i="10"/>
  <c r="D39" i="10"/>
  <c r="C39" i="10" s="1"/>
  <c r="E39" i="10" s="1"/>
  <c r="F39" i="10" s="1"/>
  <c r="D40" i="10"/>
  <c r="C40" i="10" s="1"/>
  <c r="E40" i="10" s="1"/>
  <c r="F40" i="10" s="1"/>
  <c r="D41" i="10"/>
  <c r="C41" i="10" s="1"/>
  <c r="E41" i="10" s="1"/>
  <c r="F41" i="10" s="1"/>
  <c r="D42" i="10"/>
  <c r="C42" i="10" s="1"/>
  <c r="E42" i="10" s="1"/>
  <c r="F42" i="10" s="1"/>
  <c r="C34" i="15"/>
  <c r="B31" i="15"/>
  <c r="F14" i="8"/>
  <c r="F15" i="8" s="1"/>
  <c r="B34" i="8"/>
  <c r="B33" i="20"/>
  <c r="F14" i="20"/>
  <c r="F15" i="20" s="1"/>
  <c r="E26" i="20"/>
  <c r="B33" i="23"/>
  <c r="J15" i="23"/>
  <c r="J16" i="23" s="1"/>
  <c r="B62" i="24"/>
  <c r="E27" i="24"/>
  <c r="B32" i="13"/>
  <c r="C34" i="5"/>
  <c r="F45" i="5"/>
  <c r="G45" i="5"/>
  <c r="H45" i="5"/>
  <c r="B31" i="5"/>
  <c r="E11" i="5"/>
  <c r="E12" i="5"/>
  <c r="F43" i="5"/>
  <c r="G43" i="5" s="1"/>
  <c r="H43" i="5" s="1"/>
  <c r="F41" i="5"/>
  <c r="G41" i="5"/>
  <c r="H41" i="5" s="1"/>
  <c r="E29" i="5"/>
  <c r="F42" i="5"/>
  <c r="G42" i="5"/>
  <c r="H42" i="5" s="1"/>
  <c r="C36" i="18"/>
  <c r="C35" i="18"/>
  <c r="J17" i="18" s="1"/>
  <c r="E29" i="3"/>
  <c r="B31" i="3"/>
  <c r="F14" i="3"/>
  <c r="F15" i="3"/>
  <c r="C33" i="3"/>
  <c r="B33" i="3" s="1"/>
  <c r="F40" i="8"/>
  <c r="D16" i="6"/>
  <c r="L15" i="6"/>
  <c r="L16" i="6"/>
  <c r="F44" i="5"/>
  <c r="G44" i="5" s="1"/>
  <c r="H44" i="5" s="1"/>
  <c r="J13" i="15"/>
  <c r="J14" i="15" s="1"/>
  <c r="B32" i="15"/>
  <c r="D44" i="8"/>
  <c r="D43" i="8"/>
  <c r="F43" i="8" s="1"/>
  <c r="D42" i="8"/>
  <c r="F42" i="8" s="1"/>
  <c r="E6" i="8"/>
  <c r="D39" i="8"/>
  <c r="F39" i="8" s="1"/>
  <c r="B60" i="11"/>
  <c r="B32" i="11"/>
  <c r="J13" i="11"/>
  <c r="J14" i="11" s="1"/>
  <c r="F14" i="25"/>
  <c r="F15" i="25"/>
  <c r="D11" i="14"/>
  <c r="D12" i="14" s="1"/>
  <c r="C33" i="7"/>
  <c r="J7" i="23"/>
  <c r="B32" i="24"/>
  <c r="C33" i="25"/>
  <c r="B33" i="25" s="1"/>
  <c r="B31" i="25"/>
  <c r="J13" i="4"/>
  <c r="J14" i="4"/>
  <c r="B36" i="18"/>
  <c r="F20" i="18"/>
  <c r="F21" i="18"/>
  <c r="B34" i="5"/>
  <c r="G12" i="5"/>
  <c r="G13" i="5" s="1"/>
  <c r="B34" i="15"/>
  <c r="F14" i="15"/>
  <c r="F15" i="15" s="1"/>
  <c r="B33" i="7"/>
  <c r="F14" i="7"/>
  <c r="B52" i="20"/>
  <c r="E27" i="20"/>
  <c r="F44" i="8"/>
  <c r="G44" i="8"/>
  <c r="J13" i="25"/>
  <c r="J14" i="25" s="1"/>
  <c r="B35" i="18"/>
  <c r="F15" i="7"/>
  <c r="B49" i="7"/>
  <c r="J18" i="18" l="1"/>
  <c r="F38" i="11"/>
  <c r="E38" i="11"/>
  <c r="L17" i="18"/>
  <c r="L18" i="18" s="1"/>
  <c r="C19" i="18"/>
  <c r="E27" i="3"/>
  <c r="B53" i="3"/>
  <c r="J13" i="5"/>
  <c r="J14" i="5" s="1"/>
  <c r="B68" i="5"/>
  <c r="B33" i="5"/>
  <c r="B34" i="22"/>
  <c r="F18" i="22"/>
  <c r="F19" i="22" s="1"/>
  <c r="E27" i="25"/>
  <c r="B52" i="25"/>
  <c r="F42" i="11"/>
  <c r="E42" i="11"/>
  <c r="J13" i="3"/>
  <c r="J14" i="3" s="1"/>
  <c r="B33" i="19"/>
  <c r="C18" i="22"/>
  <c r="G39" i="8"/>
  <c r="G42" i="8"/>
  <c r="F14" i="2"/>
  <c r="F15" i="2" s="1"/>
  <c r="E41" i="11"/>
  <c r="C34" i="14"/>
  <c r="C43" i="11"/>
  <c r="D43" i="11" s="1"/>
  <c r="C40" i="11"/>
  <c r="D40" i="11" s="1"/>
  <c r="F41" i="8"/>
  <c r="J7" i="6"/>
  <c r="C33" i="14"/>
  <c r="J13" i="8"/>
  <c r="J14" i="8" s="1"/>
  <c r="C33" i="22"/>
  <c r="B31" i="22"/>
  <c r="C34" i="23"/>
  <c r="B31" i="23"/>
  <c r="C33" i="26"/>
  <c r="B59" i="10"/>
  <c r="B31" i="10"/>
  <c r="B33" i="24"/>
  <c r="J13" i="24"/>
  <c r="J14" i="24" s="1"/>
  <c r="E21" i="13"/>
  <c r="L15" i="13"/>
  <c r="L16" i="13" s="1"/>
  <c r="F14" i="14" l="1"/>
  <c r="F15" i="14" s="1"/>
  <c r="B34" i="14"/>
  <c r="A28" i="18"/>
  <c r="J15" i="26"/>
  <c r="J16" i="26" s="1"/>
  <c r="B33" i="26"/>
  <c r="J15" i="22"/>
  <c r="J16" i="22" s="1"/>
  <c r="B33" i="22"/>
  <c r="L15" i="22"/>
  <c r="L16" i="22" s="1"/>
  <c r="C19" i="22"/>
  <c r="E40" i="11"/>
  <c r="F40" i="11"/>
  <c r="F15" i="23"/>
  <c r="F16" i="23" s="1"/>
  <c r="B34" i="23"/>
  <c r="J13" i="14"/>
  <c r="J14" i="14" s="1"/>
  <c r="B33" i="14"/>
  <c r="E43" i="11"/>
  <c r="F43" i="11"/>
  <c r="A27" i="18"/>
</calcChain>
</file>

<file path=xl/sharedStrings.xml><?xml version="1.0" encoding="utf-8"?>
<sst xmlns="http://schemas.openxmlformats.org/spreadsheetml/2006/main" count="999" uniqueCount="178">
  <si>
    <t>Instructions on how to use the Screen Excellence Dimension Tool</t>
  </si>
  <si>
    <t>1.  Select the screen type (tab) located in the table at the bottom of the window</t>
  </si>
  <si>
    <r>
      <t>2.  Enter the desired native image width in millimeters (</t>
    </r>
    <r>
      <rPr>
        <b/>
        <sz val="16"/>
        <color theme="4"/>
        <rFont val="Calibri (Body)"/>
      </rPr>
      <t>Image W</t>
    </r>
    <r>
      <rPr>
        <sz val="16"/>
        <color theme="1"/>
        <rFont val="Calibri"/>
        <family val="2"/>
        <scheme val="minor"/>
      </rPr>
      <t>)</t>
    </r>
  </si>
  <si>
    <r>
      <t>3.  Enter in the desired native aspect ratio (</t>
    </r>
    <r>
      <rPr>
        <b/>
        <sz val="16"/>
        <color theme="4"/>
        <rFont val="Calibri (Body)"/>
      </rPr>
      <t>Native AR</t>
    </r>
    <r>
      <rPr>
        <sz val="16"/>
        <color theme="1"/>
        <rFont val="Calibri"/>
        <family val="2"/>
        <scheme val="minor"/>
      </rPr>
      <t>)</t>
    </r>
  </si>
  <si>
    <t>You can select any size and AR up to a maximum image width for each screen</t>
  </si>
  <si>
    <r>
      <t xml:space="preserve">If you need even larger screen or have any questions, please contact </t>
    </r>
    <r>
      <rPr>
        <i/>
        <sz val="14"/>
        <color theme="1"/>
        <rFont val="Calibri"/>
        <family val="2"/>
        <scheme val="minor"/>
      </rPr>
      <t>sales@screenexcellence.com</t>
    </r>
  </si>
  <si>
    <t>Tool will display the overall dimensions and available screen materials for the size</t>
  </si>
  <si>
    <t>Tip: You can include the PDF print copy of your dimension to your order!</t>
  </si>
  <si>
    <t>SLIM Fixed Screen</t>
  </si>
  <si>
    <t>Inches</t>
  </si>
  <si>
    <t>mm</t>
  </si>
  <si>
    <t>Fabric</t>
  </si>
  <si>
    <t>Date:</t>
  </si>
  <si>
    <t>Image W</t>
  </si>
  <si>
    <t>Native AR</t>
  </si>
  <si>
    <t>Customer:</t>
  </si>
  <si>
    <t>Image H</t>
  </si>
  <si>
    <t>Closed AR</t>
  </si>
  <si>
    <t>NA</t>
  </si>
  <si>
    <t>Sign off:</t>
  </si>
  <si>
    <t>Ext W</t>
  </si>
  <si>
    <t>Close W</t>
  </si>
  <si>
    <t>Notes:</t>
  </si>
  <si>
    <t>Ext H</t>
  </si>
  <si>
    <t>Voltage</t>
  </si>
  <si>
    <t>Diagonal</t>
  </si>
  <si>
    <t>Frame W</t>
  </si>
  <si>
    <t>Depth</t>
  </si>
  <si>
    <t>mm to Inch</t>
  </si>
  <si>
    <t>Drawing Not to Scale</t>
  </si>
  <si>
    <t>Max standard Image width</t>
  </si>
  <si>
    <t xml:space="preserve">AR </t>
  </si>
  <si>
    <t>HD</t>
  </si>
  <si>
    <t>1.78</t>
  </si>
  <si>
    <t>WS</t>
  </si>
  <si>
    <t xml:space="preserve"> 2.35 - 2.40</t>
  </si>
  <si>
    <t>For larger sizes, please contact sales@screenexcellence.com</t>
  </si>
  <si>
    <t>Bracket Locations</t>
  </si>
  <si>
    <t>There are 2 brackets on the top and NONE on the bottom of the screen.</t>
  </si>
  <si>
    <t>The top Brackets are Z brackets that are movable to suit. Generally they are 10 Cm in from the side</t>
  </si>
  <si>
    <t>There are no bottom brackets provided as standard.</t>
  </si>
  <si>
    <t>The screen is hanging from the 2 top brackets and resting against a rubber stop at the bottom</t>
  </si>
  <si>
    <t xml:space="preserve">Estimated Shipping Sizes &amp; Weights </t>
  </si>
  <si>
    <t>SLIM Fixed screen ships in 1 box for ease of installation and delivery.</t>
  </si>
  <si>
    <t>The screen is shipped in various parts</t>
  </si>
  <si>
    <t>Length</t>
  </si>
  <si>
    <t>Height</t>
  </si>
  <si>
    <t>Width</t>
  </si>
  <si>
    <t>Contrast Fixed Frame Screen</t>
  </si>
  <si>
    <t>Please see below</t>
  </si>
  <si>
    <t>Picture Not to Scale</t>
  </si>
  <si>
    <t>Surface</t>
  </si>
  <si>
    <t>AV Black  &amp; Silver</t>
  </si>
  <si>
    <t>2.35-2.40</t>
  </si>
  <si>
    <t>Enlightor NEO-S</t>
  </si>
  <si>
    <t>AV Black and Silver</t>
  </si>
  <si>
    <t>AV Grey, Enlightor 4K, NEO-S, A.L</t>
  </si>
  <si>
    <t>All</t>
  </si>
  <si>
    <t>There are 2 brackets on top of the screen.</t>
  </si>
  <si>
    <t>The top Brackets are Z brackets that are movable to suit. Generally they are 19.5 Cm in from the side</t>
  </si>
  <si>
    <t>Reference Fixed screen normally ships in 1 box for ease of installation and delivery.</t>
  </si>
  <si>
    <t>Reference Fixed Screen</t>
  </si>
  <si>
    <t>There are 2 brackets on the top and 2 on the bottom of the screen.</t>
  </si>
  <si>
    <t>The bottom brackets are Snap In brackes that are movable, generally 19.5Cm from the side</t>
  </si>
  <si>
    <t>If the Screen is greater than 160" then there are 2 additional brackets / top and bottom.</t>
  </si>
  <si>
    <t>Vista Curve, Curved Fixed Screen</t>
  </si>
  <si>
    <t>Not to Scale</t>
  </si>
  <si>
    <t>There are 2 brackets on the top and bottom of the screen.</t>
  </si>
  <si>
    <t>Shipping Sizes &amp; Weights (Estimated)</t>
  </si>
  <si>
    <t>Vista Curve screen normally ships in 1 box for ease of installation and delivery.</t>
  </si>
  <si>
    <t>The estimated size Crate for this screen is: (only accurate for sizes up to  160")</t>
  </si>
  <si>
    <t>Platform Size</t>
  </si>
  <si>
    <t xml:space="preserve">Size </t>
  </si>
  <si>
    <t>Depth (mm)</t>
  </si>
  <si>
    <t>Radius (mm)</t>
  </si>
  <si>
    <t xml:space="preserve">Retractable Solid Tensioned Screen </t>
  </si>
  <si>
    <t>Enlightor S</t>
  </si>
  <si>
    <t>Case</t>
  </si>
  <si>
    <t>B. Drop (mm)</t>
  </si>
  <si>
    <t>240v</t>
  </si>
  <si>
    <t>Batten (mm)</t>
  </si>
  <si>
    <t>Standard Black Drop 500mm</t>
  </si>
  <si>
    <t xml:space="preserve">There is a pair of wall/ceiling compatible brackets supplied with  the screen. </t>
  </si>
  <si>
    <t>They are to be placed near the case ends</t>
  </si>
  <si>
    <t>RST screen ships in 1 box for ease of installation and delivery.</t>
  </si>
  <si>
    <t>The estimated size carton for this screen is:</t>
  </si>
  <si>
    <t xml:space="preserve">In Ceiling Retractable Solid Tensioned Screen </t>
  </si>
  <si>
    <t>In Ceiling installation only</t>
  </si>
  <si>
    <t>In Ceiling Retractable Solid Tensioned Screen Case</t>
  </si>
  <si>
    <t xml:space="preserve">Retractable Motorised AT Screen </t>
  </si>
  <si>
    <t>Wall mounted</t>
  </si>
  <si>
    <t>There is one  wall or ceiling (to be specified) DIN fixing rail supplied with  the screen.</t>
  </si>
  <si>
    <t>RM2-T screen ships in 1 box for ease of installation and delivery.</t>
  </si>
  <si>
    <t>True Aspect Masking Screen -1</t>
  </si>
  <si>
    <t>See Below</t>
  </si>
  <si>
    <t>Closed H</t>
  </si>
  <si>
    <t>Standard Aspect Ratios</t>
  </si>
  <si>
    <t>AR</t>
  </si>
  <si>
    <t>View H</t>
  </si>
  <si>
    <t>View W</t>
  </si>
  <si>
    <t>Mask Size</t>
  </si>
  <si>
    <t>Percentage</t>
  </si>
  <si>
    <t>There are 2wall fixing brackets on each side of the screen.</t>
  </si>
  <si>
    <t>The screen is shipped in two parts, top and bottom</t>
  </si>
  <si>
    <t>True Aspect Masking Screen TB</t>
  </si>
  <si>
    <t>Screen can store up to 99 masking positions</t>
  </si>
  <si>
    <t>There is 2 wall fixing brackets on each side of the screen.</t>
  </si>
  <si>
    <t xml:space="preserve">True Aspect Masking Screen - LR </t>
  </si>
  <si>
    <t>Closed W</t>
  </si>
  <si>
    <t>2.35 - 2.40</t>
  </si>
  <si>
    <t>There are 2 wall fixing brackets on each side of the screen.</t>
  </si>
  <si>
    <r>
      <t xml:space="preserve">TAM 2LR screen normally ships in </t>
    </r>
    <r>
      <rPr>
        <b/>
        <sz val="12"/>
        <color theme="1"/>
        <rFont val="Lato Regular"/>
      </rPr>
      <t>2 Crates</t>
    </r>
    <r>
      <rPr>
        <sz val="12"/>
        <color theme="1"/>
        <rFont val="Lato Regular"/>
      </rPr>
      <t xml:space="preserve"> for ease of installation and delivery.</t>
    </r>
  </si>
  <si>
    <t>The screen is separated into a Left and Right part that are rejoined at installation</t>
  </si>
  <si>
    <t>The estimated size for each Crate for this screen is: (only accurate for sizes up to  160")</t>
  </si>
  <si>
    <t>True Aspect Masking Screen FC</t>
  </si>
  <si>
    <t>0.00</t>
  </si>
  <si>
    <t>Adjusted W</t>
  </si>
  <si>
    <t>Estimated Shipping Sizes &amp; Weights</t>
  </si>
  <si>
    <t>TAM 2LR screen normally ships in 2 Crates for ease of installation and delivery.</t>
  </si>
  <si>
    <t xml:space="preserve">Absolute Masking Curved Screen LR </t>
  </si>
  <si>
    <t>Size</t>
  </si>
  <si>
    <t>Mask Width</t>
  </si>
  <si>
    <t>There are 2 brackets on the top and bottom of the screen. They are attached to the platform in differing postions based upon the radius of the curve.</t>
  </si>
  <si>
    <t>Absolute screen normally ships in 2 Crates for ease of installation and delivery.</t>
  </si>
  <si>
    <t>The screen is shipped in two parts, left and right</t>
  </si>
  <si>
    <t>4 way True Aspect Masking Screen</t>
  </si>
  <si>
    <t>1.78 - 2.40</t>
  </si>
  <si>
    <t>For true constant area, we specify 2.07 native AR, but we can do 2.0, 1.78 or 2.40 or any other AR as specified by the customer</t>
  </si>
  <si>
    <t xml:space="preserve"> TAM 4 screen normally ships in 1 Crate for ease of installation and delivery.</t>
  </si>
  <si>
    <t>The screen is shipped in various parts and requires assembly</t>
  </si>
  <si>
    <t>Movie Partner Bordered Fixed Frame Screen</t>
  </si>
  <si>
    <t>Movie Partner borderless Fixed Screen</t>
  </si>
  <si>
    <t>Enlightor 4K</t>
  </si>
  <si>
    <t>Case Colour White or Black</t>
  </si>
  <si>
    <t>ZERO-EDGE Fixed screen ships in 1 box for ease of installation and delivery.</t>
  </si>
  <si>
    <t>FullScreen Fixed Frame Borderless Screen</t>
  </si>
  <si>
    <t xml:space="preserve">AV Grey </t>
  </si>
  <si>
    <t>TAM -1 screen normally ships in 1 Crate for ease of installation and delivery.</t>
  </si>
  <si>
    <t>Movie Partner Fixed screen ships in 2 or more boxes for ease of installation and delivery.</t>
  </si>
  <si>
    <t>TBC</t>
  </si>
  <si>
    <t>Enlightor 4K &amp; NEO</t>
  </si>
  <si>
    <t xml:space="preserve">Multi Format Retractable Motorised AT Screen </t>
  </si>
  <si>
    <t>Ceiling mounted</t>
  </si>
  <si>
    <t>With Native WS, masking reduces the width to HD</t>
  </si>
  <si>
    <t>With Native HD, masking reduces the height to WS</t>
  </si>
  <si>
    <t>Max standard Native Image width</t>
  </si>
  <si>
    <t>There are 2  ceiling DIN fixing rails supplied with  the screen.</t>
  </si>
  <si>
    <t>MFR screen ships in 1 box for ease of installation and delivery.</t>
  </si>
  <si>
    <t>Enlightor 4K / NEO</t>
  </si>
  <si>
    <t>Reference Advanced Fixed screen normally ships in 1 box for ease of installation and delivery.</t>
  </si>
  <si>
    <t>Reference Advanced Fixed Screen</t>
  </si>
  <si>
    <t>Contrast Advanced Fixed Frame Screen</t>
  </si>
  <si>
    <t xml:space="preserve">MediaTime Retractable Motorised AT Screen </t>
  </si>
  <si>
    <t>Enlightor NEO</t>
  </si>
  <si>
    <t>Case Colour White</t>
  </si>
  <si>
    <t>Enlightor 4K and NEO</t>
  </si>
  <si>
    <t xml:space="preserve"> TAM 2TB screen normally ships in 1 Crate.</t>
  </si>
  <si>
    <t>The estimated size Crate for this screen is:</t>
  </si>
  <si>
    <t>Motor is on the Left Hand Side</t>
  </si>
  <si>
    <t xml:space="preserve">There are 2 Z-Brackets at each end behind the case (adds 5mm to the thickness). </t>
  </si>
  <si>
    <t>Bottom brackets provided as standard for sizes above 140"base width</t>
  </si>
  <si>
    <t>Enlightor NEO-W</t>
  </si>
  <si>
    <t>EN 4K or NEO</t>
  </si>
  <si>
    <t>Enlightor 4K or NEO</t>
  </si>
  <si>
    <t>Contrast Advanced Fixed screen normally ships in 1 box for ease of installation and delivery.</t>
  </si>
  <si>
    <t>Contrast Fixed screen normally ships in 1 box for ease of installation and delivery.</t>
  </si>
  <si>
    <t>Wall / celing mounted</t>
  </si>
  <si>
    <t xml:space="preserve"> Enlightor NEO</t>
  </si>
  <si>
    <t>Reverse Roll</t>
  </si>
  <si>
    <t>Black Case</t>
  </si>
  <si>
    <t>Wall mount</t>
  </si>
  <si>
    <t>Double layer surface</t>
  </si>
  <si>
    <t>500mm Black drop adjusted to 310mm</t>
  </si>
  <si>
    <t>12v + RF contorls Combo</t>
  </si>
  <si>
    <t>1:1.85 (letterbox)</t>
  </si>
  <si>
    <t>1:1.78 (16/9) (HD)</t>
  </si>
  <si>
    <t>1:1.33 (4/3) (SD)</t>
  </si>
  <si>
    <t>Mr. Harvey Clarke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</si>
</sst>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[$-F800]dddd\,\ mmmm\ dd\,\ yyyy"/>
    <numFmt numFmtId="166" formatCode="0.0"/>
    <numFmt numFmtId="167" formatCode="#,##0_ ;\-#,##0\ "/>
    <numFmt numFmtId="168" formatCode="_-* #,##0_-;\-* #,##0_-;_-* &quot;-&quot;??_-;_-@_-"/>
  </numFmts>
  <fonts count="5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u/>
      <sz val="12"/>
      <color theme="10"/>
      <name val="Calibri"/>
      <family val="2"/>
      <charset val="129"/>
      <scheme val="minor"/>
    </font>
    <font>
      <u/>
      <sz val="12"/>
      <color theme="11"/>
      <name val="Calibri"/>
      <family val="2"/>
      <charset val="129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Lato Regular"/>
    </font>
    <font>
      <sz val="12"/>
      <color theme="1"/>
      <name val="Lato Regular"/>
    </font>
    <font>
      <sz val="20"/>
      <color theme="1"/>
      <name val="Lato Regular"/>
    </font>
    <font>
      <b/>
      <sz val="12"/>
      <color theme="1"/>
      <name val="Lato Regular"/>
    </font>
    <font>
      <b/>
      <sz val="12"/>
      <color theme="4"/>
      <name val="Lato Regular"/>
    </font>
    <font>
      <b/>
      <sz val="12"/>
      <color theme="3" tint="0.39997558519241921"/>
      <name val="Lato Regular"/>
    </font>
    <font>
      <b/>
      <sz val="12"/>
      <name val="Lato Regular"/>
    </font>
    <font>
      <sz val="12"/>
      <name val="Lato Regular"/>
    </font>
    <font>
      <b/>
      <u/>
      <sz val="12"/>
      <color theme="1"/>
      <name val="Lato Regular"/>
    </font>
    <font>
      <sz val="12"/>
      <color rgb="FFFF0000"/>
      <name val="Lato Regular"/>
    </font>
    <font>
      <sz val="12"/>
      <color theme="4"/>
      <name val="Lato Regular"/>
    </font>
    <font>
      <sz val="12"/>
      <color rgb="FF000000"/>
      <name val="Lato Regular"/>
    </font>
    <font>
      <b/>
      <sz val="16"/>
      <color theme="1"/>
      <name val="Lato Regular"/>
    </font>
    <font>
      <sz val="16"/>
      <color theme="1"/>
      <name val="Lato Regular"/>
    </font>
    <font>
      <sz val="12"/>
      <color theme="5" tint="-0.249977111117893"/>
      <name val="Lato Regular"/>
    </font>
    <font>
      <sz val="9"/>
      <color theme="1"/>
      <name val="Lato Regular"/>
    </font>
    <font>
      <b/>
      <u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2"/>
      <color rgb="FF000000"/>
      <name val="Lato Regular"/>
    </font>
    <font>
      <i/>
      <sz val="14"/>
      <color theme="1"/>
      <name val="Calibri"/>
      <family val="2"/>
      <scheme val="minor"/>
    </font>
    <font>
      <b/>
      <sz val="16"/>
      <color theme="4"/>
      <name val="Calibri (Body)"/>
    </font>
    <font>
      <sz val="14"/>
      <color rgb="FF0433FF"/>
      <name val="Tahoma"/>
      <family val="2"/>
    </font>
    <font>
      <sz val="14"/>
      <color rgb="FF0433FF"/>
      <name val="Times"/>
    </font>
    <font>
      <sz val="10"/>
      <color theme="1"/>
      <name val="Lato Regular"/>
    </font>
    <font>
      <b/>
      <sz val="20"/>
      <color theme="1"/>
      <name val="Lato Regular"/>
    </font>
    <font>
      <sz val="12"/>
      <color theme="1"/>
      <name val="Lato Regular"/>
    </font>
    <font>
      <b/>
      <sz val="16"/>
      <color theme="1"/>
      <name val="Lato Regular"/>
    </font>
    <font>
      <sz val="20"/>
      <color theme="1"/>
      <name val="Lato Regular"/>
    </font>
    <font>
      <b/>
      <sz val="12"/>
      <color theme="1"/>
      <name val="Lato Regular"/>
    </font>
    <font>
      <b/>
      <sz val="12"/>
      <name val="Lato Regular"/>
    </font>
    <font>
      <b/>
      <sz val="12"/>
      <color theme="4"/>
      <name val="Lato Regular"/>
    </font>
    <font>
      <b/>
      <sz val="12"/>
      <color theme="3" tint="0.39997558519241921"/>
      <name val="Lato Regular"/>
    </font>
    <font>
      <sz val="9"/>
      <color theme="1"/>
      <name val="Lato Regular"/>
    </font>
    <font>
      <sz val="12"/>
      <name val="Lato Regular"/>
    </font>
    <font>
      <b/>
      <u/>
      <sz val="12"/>
      <color theme="1"/>
      <name val="Lato Regular"/>
    </font>
    <font>
      <sz val="12"/>
      <color rgb="FF000000"/>
      <name val="Lato Regular"/>
    </font>
    <font>
      <b/>
      <sz val="12"/>
      <color rgb="FF000000"/>
      <name val="Lato Regular"/>
    </font>
    <font>
      <sz val="12"/>
      <color theme="2" tint="-0.499984740745262"/>
      <name val="Lato Regular"/>
    </font>
    <font>
      <sz val="12"/>
      <color theme="9" tint="-0.249977111117893"/>
      <name val="Lato Regular"/>
    </font>
    <font>
      <b/>
      <sz val="12"/>
      <color theme="0"/>
      <name val="Lato Regular"/>
    </font>
    <font>
      <sz val="12"/>
      <color theme="9" tint="-0.499984740745262"/>
      <name val="Lato Regular"/>
    </font>
    <font>
      <sz val="11"/>
      <color theme="1"/>
      <name val="Lato Regular"/>
    </font>
  </fonts>
  <fills count="8">
    <fill>
      <patternFill patternType="none"/>
    </fill>
    <fill>
      <patternFill patternType="gray125"/>
    </fill>
    <fill>
      <patternFill patternType="gray125">
        <bgColor theme="0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darkTrellis">
        <fgColor theme="1"/>
      </patternFill>
    </fill>
    <fill>
      <patternFill patternType="darkGray">
        <fgColor theme="1"/>
      </patternFill>
    </fill>
    <fill>
      <patternFill patternType="solid">
        <fgColor theme="1"/>
        <bgColor theme="1"/>
      </patternFill>
    </fill>
  </fills>
  <borders count="2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72">
    <xf numFmtId="0" fontId="0" fillId="0" borderId="0"/>
    <xf numFmtId="164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84">
    <xf numFmtId="0" fontId="0" fillId="0" borderId="0" xfId="0"/>
    <xf numFmtId="0" fontId="8" fillId="0" borderId="0" xfId="0" applyFont="1"/>
    <xf numFmtId="0" fontId="10" fillId="0" borderId="0" xfId="0" applyFont="1"/>
    <xf numFmtId="0" fontId="11" fillId="0" borderId="0" xfId="0" applyFont="1"/>
    <xf numFmtId="0" fontId="10" fillId="0" borderId="0" xfId="0" applyFont="1" applyBorder="1"/>
    <xf numFmtId="12" fontId="10" fillId="0" borderId="0" xfId="0" applyNumberFormat="1" applyFont="1" applyAlignment="1"/>
    <xf numFmtId="0" fontId="10" fillId="3" borderId="0" xfId="0" applyFont="1" applyFill="1" applyBorder="1"/>
    <xf numFmtId="1" fontId="12" fillId="0" borderId="0" xfId="0" applyNumberFormat="1" applyFont="1" applyBorder="1" applyAlignment="1">
      <alignment horizontal="right"/>
    </xf>
    <xf numFmtId="2" fontId="12" fillId="0" borderId="0" xfId="0" applyNumberFormat="1" applyFont="1" applyBorder="1"/>
    <xf numFmtId="12" fontId="10" fillId="0" borderId="0" xfId="0" applyNumberFormat="1" applyFont="1"/>
    <xf numFmtId="0" fontId="10" fillId="0" borderId="5" xfId="0" applyFont="1" applyBorder="1"/>
    <xf numFmtId="0" fontId="12" fillId="0" borderId="6" xfId="0" applyFont="1" applyBorder="1" applyAlignment="1">
      <alignment horizontal="center"/>
    </xf>
    <xf numFmtId="164" fontId="12" fillId="0" borderId="6" xfId="1" applyFont="1" applyBorder="1" applyAlignment="1">
      <alignment horizontal="center"/>
    </xf>
    <xf numFmtId="0" fontId="12" fillId="0" borderId="6" xfId="0" applyFont="1" applyBorder="1" applyAlignment="1">
      <alignment horizontal="right"/>
    </xf>
    <xf numFmtId="0" fontId="12" fillId="0" borderId="7" xfId="0" applyFont="1" applyBorder="1" applyAlignment="1">
      <alignment horizontal="right"/>
    </xf>
    <xf numFmtId="12" fontId="10" fillId="0" borderId="4" xfId="0" applyNumberFormat="1" applyFont="1" applyBorder="1" applyAlignment="1">
      <alignment horizontal="center"/>
    </xf>
    <xf numFmtId="1" fontId="14" fillId="0" borderId="4" xfId="1" applyNumberFormat="1" applyFont="1" applyBorder="1" applyAlignment="1">
      <alignment horizontal="center"/>
    </xf>
    <xf numFmtId="0" fontId="12" fillId="0" borderId="4" xfId="0" applyFont="1" applyBorder="1" applyAlignment="1">
      <alignment horizontal="right"/>
    </xf>
    <xf numFmtId="1" fontId="15" fillId="0" borderId="4" xfId="1" applyNumberFormat="1" applyFont="1" applyBorder="1" applyAlignment="1">
      <alignment horizontal="center"/>
    </xf>
    <xf numFmtId="1" fontId="12" fillId="0" borderId="4" xfId="1" applyNumberFormat="1" applyFont="1" applyBorder="1" applyAlignment="1">
      <alignment horizontal="center"/>
    </xf>
    <xf numFmtId="2" fontId="10" fillId="0" borderId="4" xfId="1" applyNumberFormat="1" applyFont="1" applyBorder="1" applyAlignment="1">
      <alignment horizontal="center"/>
    </xf>
    <xf numFmtId="0" fontId="10" fillId="0" borderId="0" xfId="0" applyFont="1" applyFill="1" applyBorder="1"/>
    <xf numFmtId="0" fontId="10" fillId="0" borderId="1" xfId="0" applyFont="1" applyBorder="1"/>
    <xf numFmtId="0" fontId="12" fillId="0" borderId="4" xfId="0" applyFont="1" applyFill="1" applyBorder="1" applyAlignment="1">
      <alignment horizontal="right"/>
    </xf>
    <xf numFmtId="164" fontId="16" fillId="0" borderId="4" xfId="1" applyFont="1" applyBorder="1" applyAlignment="1">
      <alignment horizontal="center"/>
    </xf>
    <xf numFmtId="0" fontId="10" fillId="0" borderId="16" xfId="0" applyFont="1" applyBorder="1" applyAlignment="1"/>
    <xf numFmtId="0" fontId="10" fillId="0" borderId="0" xfId="0" applyFont="1" applyBorder="1" applyAlignment="1"/>
    <xf numFmtId="0" fontId="10" fillId="0" borderId="1" xfId="0" applyFont="1" applyBorder="1" applyAlignment="1"/>
    <xf numFmtId="2" fontId="16" fillId="0" borderId="4" xfId="1" applyNumberFormat="1" applyFont="1" applyBorder="1" applyAlignment="1">
      <alignment horizontal="center"/>
    </xf>
    <xf numFmtId="0" fontId="12" fillId="0" borderId="8" xfId="0" applyFont="1" applyBorder="1" applyAlignment="1">
      <alignment horizontal="right"/>
    </xf>
    <xf numFmtId="12" fontId="10" fillId="0" borderId="9" xfId="0" applyNumberFormat="1" applyFont="1" applyBorder="1" applyAlignment="1">
      <alignment horizontal="center"/>
    </xf>
    <xf numFmtId="166" fontId="15" fillId="0" borderId="9" xfId="1" applyNumberFormat="1" applyFont="1" applyBorder="1" applyAlignment="1">
      <alignment horizontal="center"/>
    </xf>
    <xf numFmtId="0" fontId="12" fillId="0" borderId="9" xfId="0" applyFont="1" applyBorder="1" applyAlignment="1">
      <alignment horizontal="right"/>
    </xf>
    <xf numFmtId="2" fontId="10" fillId="0" borderId="9" xfId="1" applyNumberFormat="1" applyFont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 applyAlignment="1">
      <alignment horizontal="right"/>
    </xf>
    <xf numFmtId="0" fontId="10" fillId="0" borderId="0" xfId="0" applyFont="1" applyAlignment="1"/>
    <xf numFmtId="0" fontId="10" fillId="0" borderId="0" xfId="1" applyNumberFormat="1" applyFont="1"/>
    <xf numFmtId="164" fontId="10" fillId="0" borderId="0" xfId="1" applyFont="1"/>
    <xf numFmtId="166" fontId="10" fillId="0" borderId="0" xfId="0" applyNumberFormat="1" applyFont="1"/>
    <xf numFmtId="166" fontId="11" fillId="0" borderId="0" xfId="0" applyNumberFormat="1" applyFont="1"/>
    <xf numFmtId="166" fontId="10" fillId="0" borderId="0" xfId="0" applyNumberFormat="1" applyFont="1" applyBorder="1"/>
    <xf numFmtId="166" fontId="10" fillId="3" borderId="0" xfId="0" applyNumberFormat="1" applyFont="1" applyFill="1" applyBorder="1"/>
    <xf numFmtId="12" fontId="10" fillId="0" borderId="0" xfId="0" applyNumberFormat="1" applyFont="1" applyAlignment="1">
      <alignment horizontal="right"/>
    </xf>
    <xf numFmtId="166" fontId="12" fillId="0" borderId="0" xfId="0" applyNumberFormat="1" applyFont="1" applyBorder="1"/>
    <xf numFmtId="166" fontId="10" fillId="0" borderId="5" xfId="0" applyNumberFormat="1" applyFont="1" applyBorder="1"/>
    <xf numFmtId="166" fontId="12" fillId="0" borderId="6" xfId="0" applyNumberFormat="1" applyFont="1" applyBorder="1" applyAlignment="1">
      <alignment horizontal="center"/>
    </xf>
    <xf numFmtId="166" fontId="12" fillId="0" borderId="6" xfId="1" applyNumberFormat="1" applyFont="1" applyBorder="1" applyAlignment="1">
      <alignment horizontal="center"/>
    </xf>
    <xf numFmtId="166" fontId="12" fillId="0" borderId="6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2" fontId="10" fillId="0" borderId="4" xfId="0" applyNumberFormat="1" applyFont="1" applyBorder="1" applyAlignment="1">
      <alignment horizontal="left" indent="1"/>
    </xf>
    <xf numFmtId="166" fontId="12" fillId="0" borderId="4" xfId="0" applyNumberFormat="1" applyFont="1" applyBorder="1" applyAlignment="1">
      <alignment horizontal="left" indent="1"/>
    </xf>
    <xf numFmtId="166" fontId="12" fillId="0" borderId="4" xfId="0" applyNumberFormat="1" applyFont="1" applyBorder="1" applyAlignment="1">
      <alignment horizontal="right"/>
    </xf>
    <xf numFmtId="1" fontId="16" fillId="0" borderId="4" xfId="1" applyNumberFormat="1" applyFont="1" applyBorder="1" applyAlignment="1">
      <alignment horizontal="center"/>
    </xf>
    <xf numFmtId="1" fontId="10" fillId="0" borderId="4" xfId="1" applyNumberFormat="1" applyFont="1" applyBorder="1" applyAlignment="1">
      <alignment horizontal="center"/>
    </xf>
    <xf numFmtId="166" fontId="10" fillId="0" borderId="4" xfId="1" applyNumberFormat="1" applyFont="1" applyBorder="1" applyAlignment="1">
      <alignment horizontal="center"/>
    </xf>
    <xf numFmtId="166" fontId="10" fillId="0" borderId="0" xfId="0" applyNumberFormat="1" applyFont="1" applyFill="1" applyBorder="1"/>
    <xf numFmtId="166" fontId="10" fillId="0" borderId="1" xfId="0" applyNumberFormat="1" applyFont="1" applyBorder="1" applyAlignment="1">
      <alignment horizontal="right"/>
    </xf>
    <xf numFmtId="166" fontId="12" fillId="0" borderId="4" xfId="0" applyNumberFormat="1" applyFont="1" applyFill="1" applyBorder="1" applyAlignment="1">
      <alignment horizontal="right"/>
    </xf>
    <xf numFmtId="166" fontId="16" fillId="0" borderId="4" xfId="1" applyNumberFormat="1" applyFont="1" applyBorder="1" applyAlignment="1">
      <alignment horizontal="center"/>
    </xf>
    <xf numFmtId="166" fontId="12" fillId="0" borderId="8" xfId="0" applyNumberFormat="1" applyFont="1" applyBorder="1" applyAlignment="1">
      <alignment horizontal="right"/>
    </xf>
    <xf numFmtId="12" fontId="10" fillId="0" borderId="9" xfId="0" applyNumberFormat="1" applyFont="1" applyBorder="1" applyAlignment="1">
      <alignment horizontal="left" indent="1"/>
    </xf>
    <xf numFmtId="1" fontId="16" fillId="0" borderId="9" xfId="1" applyNumberFormat="1" applyFont="1" applyBorder="1" applyAlignment="1">
      <alignment horizontal="center"/>
    </xf>
    <xf numFmtId="166" fontId="12" fillId="0" borderId="9" xfId="0" applyNumberFormat="1" applyFont="1" applyBorder="1" applyAlignment="1">
      <alignment horizontal="right"/>
    </xf>
    <xf numFmtId="166" fontId="10" fillId="0" borderId="9" xfId="1" applyNumberFormat="1" applyFont="1" applyBorder="1" applyAlignment="1">
      <alignment horizontal="center"/>
    </xf>
    <xf numFmtId="166" fontId="10" fillId="0" borderId="0" xfId="0" applyNumberFormat="1" applyFont="1" applyAlignment="1"/>
    <xf numFmtId="1" fontId="10" fillId="0" borderId="0" xfId="1" applyNumberFormat="1" applyFont="1"/>
    <xf numFmtId="166" fontId="18" fillId="0" borderId="0" xfId="1" applyNumberFormat="1" applyFont="1"/>
    <xf numFmtId="166" fontId="18" fillId="0" borderId="0" xfId="0" applyNumberFormat="1" applyFont="1"/>
    <xf numFmtId="166" fontId="12" fillId="0" borderId="4" xfId="0" applyNumberFormat="1" applyFont="1" applyBorder="1" applyAlignment="1">
      <alignment horizontal="right" vertical="center"/>
    </xf>
    <xf numFmtId="166" fontId="12" fillId="0" borderId="4" xfId="0" applyNumberFormat="1" applyFont="1" applyFill="1" applyBorder="1" applyAlignment="1">
      <alignment horizontal="right" vertical="center"/>
    </xf>
    <xf numFmtId="166" fontId="12" fillId="0" borderId="9" xfId="0" applyNumberFormat="1" applyFont="1" applyBorder="1" applyAlignment="1">
      <alignment horizontal="right" vertical="center"/>
    </xf>
    <xf numFmtId="3" fontId="12" fillId="0" borderId="0" xfId="0" applyNumberFormat="1" applyFont="1" applyBorder="1" applyAlignment="1">
      <alignment horizontal="center"/>
    </xf>
    <xf numFmtId="0" fontId="10" fillId="0" borderId="3" xfId="0" applyFont="1" applyBorder="1" applyAlignment="1"/>
    <xf numFmtId="168" fontId="10" fillId="0" borderId="0" xfId="1" applyNumberFormat="1" applyFont="1"/>
    <xf numFmtId="1" fontId="15" fillId="0" borderId="9" xfId="1" applyNumberFormat="1" applyFont="1" applyBorder="1" applyAlignment="1">
      <alignment horizontal="center"/>
    </xf>
    <xf numFmtId="0" fontId="10" fillId="2" borderId="0" xfId="0" applyFont="1" applyFill="1" applyBorder="1"/>
    <xf numFmtId="1" fontId="12" fillId="0" borderId="0" xfId="0" applyNumberFormat="1" applyFont="1" applyAlignment="1">
      <alignment horizontal="center"/>
    </xf>
    <xf numFmtId="0" fontId="12" fillId="0" borderId="0" xfId="0" applyNumberFormat="1" applyFont="1" applyBorder="1" applyAlignment="1">
      <alignment horizontal="center"/>
    </xf>
    <xf numFmtId="164" fontId="13" fillId="0" borderId="4" xfId="1" applyFont="1" applyBorder="1" applyAlignment="1">
      <alignment horizontal="center"/>
    </xf>
    <xf numFmtId="1" fontId="10" fillId="0" borderId="0" xfId="0" applyNumberFormat="1" applyFont="1"/>
    <xf numFmtId="9" fontId="10" fillId="0" borderId="0" xfId="128" applyFont="1"/>
    <xf numFmtId="0" fontId="10" fillId="4" borderId="0" xfId="0" applyFont="1" applyFill="1" applyBorder="1"/>
    <xf numFmtId="0" fontId="10" fillId="4" borderId="0" xfId="0" applyFont="1" applyFill="1"/>
    <xf numFmtId="1" fontId="12" fillId="4" borderId="0" xfId="0" applyNumberFormat="1" applyFont="1" applyFill="1" applyBorder="1" applyAlignment="1">
      <alignment horizontal="center"/>
    </xf>
    <xf numFmtId="12" fontId="10" fillId="4" borderId="0" xfId="0" applyNumberFormat="1" applyFont="1" applyFill="1" applyAlignment="1"/>
    <xf numFmtId="1" fontId="10" fillId="0" borderId="0" xfId="0" applyNumberFormat="1" applyFont="1" applyAlignment="1">
      <alignment horizontal="center"/>
    </xf>
    <xf numFmtId="1" fontId="12" fillId="0" borderId="0" xfId="0" applyNumberFormat="1" applyFont="1" applyBorder="1" applyAlignment="1">
      <alignment horizontal="left"/>
    </xf>
    <xf numFmtId="12" fontId="10" fillId="0" borderId="0" xfId="0" applyNumberFormat="1" applyFont="1" applyAlignment="1">
      <alignment horizontal="left"/>
    </xf>
    <xf numFmtId="1" fontId="13" fillId="0" borderId="4" xfId="1" applyNumberFormat="1" applyFont="1" applyBorder="1" applyAlignment="1">
      <alignment horizontal="center"/>
    </xf>
    <xf numFmtId="12" fontId="10" fillId="4" borderId="0" xfId="0" applyNumberFormat="1" applyFont="1" applyFill="1" applyAlignment="1">
      <alignment horizontal="center"/>
    </xf>
    <xf numFmtId="2" fontId="12" fillId="4" borderId="0" xfId="0" applyNumberFormat="1" applyFont="1" applyFill="1" applyBorder="1"/>
    <xf numFmtId="12" fontId="10" fillId="4" borderId="0" xfId="0" applyNumberFormat="1" applyFont="1" applyFill="1"/>
    <xf numFmtId="164" fontId="19" fillId="0" borderId="4" xfId="1" applyFont="1" applyBorder="1" applyAlignment="1">
      <alignment horizontal="center"/>
    </xf>
    <xf numFmtId="0" fontId="22" fillId="0" borderId="0" xfId="0" applyFont="1"/>
    <xf numFmtId="12" fontId="23" fillId="0" borderId="0" xfId="0" applyNumberFormat="1" applyFont="1" applyAlignment="1">
      <alignment horizontal="center"/>
    </xf>
    <xf numFmtId="12" fontId="23" fillId="0" borderId="0" xfId="0" applyNumberFormat="1" applyFont="1" applyAlignment="1">
      <alignment horizontal="center" vertical="top"/>
    </xf>
    <xf numFmtId="1" fontId="10" fillId="0" borderId="0" xfId="0" applyNumberFormat="1" applyFont="1" applyBorder="1" applyAlignment="1">
      <alignment horizontal="right"/>
    </xf>
    <xf numFmtId="12" fontId="23" fillId="0" borderId="0" xfId="0" applyNumberFormat="1" applyFont="1" applyBorder="1" applyAlignment="1">
      <alignment horizontal="right"/>
    </xf>
    <xf numFmtId="1" fontId="10" fillId="0" borderId="0" xfId="0" applyNumberFormat="1" applyFont="1" applyBorder="1" applyAlignment="1">
      <alignment horizontal="center"/>
    </xf>
    <xf numFmtId="12" fontId="23" fillId="0" borderId="0" xfId="0" applyNumberFormat="1" applyFont="1" applyBorder="1" applyAlignment="1">
      <alignment horizontal="center"/>
    </xf>
    <xf numFmtId="12" fontId="23" fillId="0" borderId="0" xfId="0" applyNumberFormat="1" applyFont="1" applyAlignment="1"/>
    <xf numFmtId="1" fontId="12" fillId="0" borderId="0" xfId="0" applyNumberFormat="1" applyFont="1" applyAlignment="1">
      <alignment horizontal="left"/>
    </xf>
    <xf numFmtId="12" fontId="23" fillId="0" borderId="0" xfId="0" applyNumberFormat="1" applyFont="1" applyAlignment="1">
      <alignment horizontal="left"/>
    </xf>
    <xf numFmtId="1" fontId="10" fillId="0" borderId="0" xfId="0" applyNumberFormat="1" applyFont="1" applyBorder="1" applyAlignment="1">
      <alignment horizontal="left"/>
    </xf>
    <xf numFmtId="12" fontId="23" fillId="0" borderId="0" xfId="0" applyNumberFormat="1" applyFont="1" applyAlignment="1">
      <alignment horizontal="left" vertical="top"/>
    </xf>
    <xf numFmtId="0" fontId="12" fillId="0" borderId="0" xfId="0" applyNumberFormat="1" applyFont="1" applyBorder="1" applyAlignment="1">
      <alignment horizontal="center" vertical="top"/>
    </xf>
    <xf numFmtId="12" fontId="23" fillId="0" borderId="4" xfId="0" applyNumberFormat="1" applyFont="1" applyBorder="1" applyAlignment="1">
      <alignment horizontal="left" indent="1"/>
    </xf>
    <xf numFmtId="0" fontId="10" fillId="0" borderId="17" xfId="0" applyFont="1" applyFill="1" applyBorder="1" applyAlignment="1">
      <alignment horizontal="left"/>
    </xf>
    <xf numFmtId="0" fontId="10" fillId="0" borderId="18" xfId="0" applyFont="1" applyFill="1" applyBorder="1" applyAlignment="1">
      <alignment horizontal="left"/>
    </xf>
    <xf numFmtId="167" fontId="13" fillId="0" borderId="4" xfId="1" applyNumberFormat="1" applyFont="1" applyBorder="1" applyAlignment="1">
      <alignment horizontal="center"/>
    </xf>
    <xf numFmtId="12" fontId="23" fillId="0" borderId="9" xfId="0" applyNumberFormat="1" applyFont="1" applyBorder="1" applyAlignment="1">
      <alignment horizontal="left" indent="1"/>
    </xf>
    <xf numFmtId="0" fontId="24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indent="2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22" xfId="0" applyFont="1" applyBorder="1"/>
    <xf numFmtId="0" fontId="12" fillId="0" borderId="0" xfId="0" applyFont="1" applyBorder="1"/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0" fontId="12" fillId="0" borderId="22" xfId="0" applyFont="1" applyBorder="1" applyAlignment="1"/>
    <xf numFmtId="0" fontId="26" fillId="0" borderId="0" xfId="0" applyFont="1" applyAlignment="1">
      <alignment horizontal="center"/>
    </xf>
    <xf numFmtId="0" fontId="17" fillId="0" borderId="0" xfId="0" applyFont="1" applyBorder="1" applyAlignment="1"/>
    <xf numFmtId="0" fontId="12" fillId="0" borderId="0" xfId="0" applyFont="1" applyAlignment="1">
      <alignment horizontal="center"/>
    </xf>
    <xf numFmtId="0" fontId="10" fillId="0" borderId="22" xfId="0" applyFont="1" applyBorder="1"/>
    <xf numFmtId="0" fontId="12" fillId="0" borderId="0" xfId="0" applyFont="1" applyFill="1" applyBorder="1" applyAlignment="1">
      <alignment horizontal="center"/>
    </xf>
    <xf numFmtId="0" fontId="10" fillId="0" borderId="0" xfId="1" applyNumberFormat="1" applyFont="1" applyAlignment="1">
      <alignment horizontal="center"/>
    </xf>
    <xf numFmtId="2" fontId="10" fillId="0" borderId="0" xfId="1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22" xfId="0" applyFont="1" applyBorder="1" applyAlignment="1"/>
    <xf numFmtId="0" fontId="12" fillId="0" borderId="0" xfId="0" applyFont="1" applyBorder="1" applyAlignment="1">
      <alignment horizontal="center"/>
    </xf>
    <xf numFmtId="2" fontId="10" fillId="0" borderId="0" xfId="1" applyNumberFormat="1" applyFont="1" applyAlignment="1">
      <alignment horizontal="left" vertical="center"/>
    </xf>
    <xf numFmtId="2" fontId="10" fillId="0" borderId="0" xfId="1" applyNumberFormat="1" applyFont="1" applyAlignment="1">
      <alignment horizontal="center" vertical="center"/>
    </xf>
    <xf numFmtId="1" fontId="10" fillId="0" borderId="0" xfId="1" applyNumberFormat="1" applyFont="1" applyAlignment="1">
      <alignment horizontal="center"/>
    </xf>
    <xf numFmtId="9" fontId="10" fillId="0" borderId="0" xfId="128" applyFont="1" applyAlignment="1">
      <alignment horizontal="center"/>
    </xf>
    <xf numFmtId="1" fontId="20" fillId="0" borderId="0" xfId="0" applyNumberFormat="1" applyFont="1" applyAlignment="1">
      <alignment horizontal="center"/>
    </xf>
    <xf numFmtId="9" fontId="20" fillId="0" borderId="0" xfId="0" applyNumberFormat="1" applyFont="1" applyAlignment="1">
      <alignment horizontal="center"/>
    </xf>
    <xf numFmtId="0" fontId="20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66" fontId="12" fillId="0" borderId="22" xfId="0" applyNumberFormat="1" applyFont="1" applyBorder="1"/>
    <xf numFmtId="166" fontId="10" fillId="0" borderId="22" xfId="0" applyNumberFormat="1" applyFont="1" applyBorder="1"/>
    <xf numFmtId="0" fontId="2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2" fontId="10" fillId="0" borderId="0" xfId="1" applyNumberFormat="1" applyFont="1" applyAlignment="1">
      <alignment horizontal="left" vertical="center" indent="1"/>
    </xf>
    <xf numFmtId="168" fontId="10" fillId="0" borderId="0" xfId="0" applyNumberFormat="1" applyFont="1" applyAlignment="1">
      <alignment horizontal="center"/>
    </xf>
    <xf numFmtId="0" fontId="13" fillId="0" borderId="7" xfId="0" applyFont="1" applyBorder="1" applyAlignment="1">
      <alignment horizontal="right"/>
    </xf>
    <xf numFmtId="0" fontId="13" fillId="0" borderId="4" xfId="0" applyFont="1" applyBorder="1" applyAlignment="1">
      <alignment horizontal="right"/>
    </xf>
    <xf numFmtId="166" fontId="13" fillId="0" borderId="7" xfId="0" applyNumberFormat="1" applyFont="1" applyBorder="1" applyAlignment="1">
      <alignment horizontal="right"/>
    </xf>
    <xf numFmtId="166" fontId="13" fillId="0" borderId="4" xfId="0" applyNumberFormat="1" applyFont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/>
    </xf>
    <xf numFmtId="0" fontId="22" fillId="0" borderId="0" xfId="0" applyFont="1" applyFill="1"/>
    <xf numFmtId="0" fontId="9" fillId="0" borderId="0" xfId="0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12" fontId="23" fillId="0" borderId="0" xfId="0" applyNumberFormat="1" applyFont="1" applyFill="1" applyAlignment="1">
      <alignment horizontal="center"/>
    </xf>
    <xf numFmtId="12" fontId="23" fillId="0" borderId="0" xfId="0" applyNumberFormat="1" applyFont="1" applyFill="1" applyAlignment="1">
      <alignment horizontal="center" vertical="top"/>
    </xf>
    <xf numFmtId="0" fontId="11" fillId="0" borderId="0" xfId="0" applyFont="1" applyFill="1"/>
    <xf numFmtId="0" fontId="10" fillId="0" borderId="0" xfId="0" applyFont="1" applyFill="1"/>
    <xf numFmtId="1" fontId="10" fillId="0" borderId="0" xfId="0" applyNumberFormat="1" applyFont="1" applyFill="1" applyBorder="1" applyAlignment="1">
      <alignment horizontal="right"/>
    </xf>
    <xf numFmtId="12" fontId="23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2" fontId="23" fillId="0" borderId="0" xfId="0" applyNumberFormat="1" applyFont="1" applyFill="1" applyBorder="1" applyAlignment="1">
      <alignment horizontal="center"/>
    </xf>
    <xf numFmtId="12" fontId="23" fillId="0" borderId="0" xfId="0" applyNumberFormat="1" applyFont="1" applyFill="1" applyAlignment="1"/>
    <xf numFmtId="1" fontId="12" fillId="0" borderId="0" xfId="0" applyNumberFormat="1" applyFont="1" applyFill="1" applyBorder="1" applyAlignment="1">
      <alignment horizontal="right"/>
    </xf>
    <xf numFmtId="1" fontId="12" fillId="0" borderId="0" xfId="0" applyNumberFormat="1" applyFont="1" applyFill="1" applyAlignment="1">
      <alignment horizontal="left"/>
    </xf>
    <xf numFmtId="12" fontId="23" fillId="0" borderId="0" xfId="0" applyNumberFormat="1" applyFont="1" applyFill="1" applyAlignment="1">
      <alignment horizontal="right"/>
    </xf>
    <xf numFmtId="12" fontId="23" fillId="0" borderId="0" xfId="0" applyNumberFormat="1" applyFont="1" applyFill="1" applyAlignment="1">
      <alignment horizontal="left"/>
    </xf>
    <xf numFmtId="2" fontId="12" fillId="0" borderId="0" xfId="0" applyNumberFormat="1" applyFont="1" applyFill="1" applyBorder="1"/>
    <xf numFmtId="12" fontId="10" fillId="0" borderId="0" xfId="0" applyNumberFormat="1" applyFont="1" applyFill="1"/>
    <xf numFmtId="12" fontId="23" fillId="0" borderId="0" xfId="0" applyNumberFormat="1" applyFont="1" applyFill="1" applyAlignment="1">
      <alignment horizontal="right" vertical="top"/>
    </xf>
    <xf numFmtId="0" fontId="12" fillId="0" borderId="0" xfId="0" applyNumberFormat="1" applyFont="1" applyFill="1" applyBorder="1" applyAlignment="1">
      <alignment horizontal="center" vertical="top"/>
    </xf>
    <xf numFmtId="0" fontId="12" fillId="0" borderId="0" xfId="0" applyFont="1" applyBorder="1" applyAlignment="1">
      <alignment horizontal="right"/>
    </xf>
    <xf numFmtId="0" fontId="10" fillId="0" borderId="0" xfId="0" quotePrefix="1" applyFont="1" applyBorder="1" applyAlignment="1">
      <alignment horizontal="left" indent="1"/>
    </xf>
    <xf numFmtId="0" fontId="17" fillId="0" borderId="0" xfId="0" applyFont="1"/>
    <xf numFmtId="0" fontId="12" fillId="0" borderId="0" xfId="0" applyFont="1" applyBorder="1" applyAlignment="1">
      <alignment horizontal="right" indent="1"/>
    </xf>
    <xf numFmtId="2" fontId="10" fillId="0" borderId="0" xfId="0" quotePrefix="1" applyNumberFormat="1" applyFont="1" applyBorder="1" applyAlignment="1">
      <alignment horizontal="left"/>
    </xf>
    <xf numFmtId="0" fontId="10" fillId="0" borderId="22" xfId="0" quotePrefix="1" applyFont="1" applyBorder="1" applyAlignment="1">
      <alignment horizontal="left" indent="1"/>
    </xf>
    <xf numFmtId="0" fontId="10" fillId="0" borderId="18" xfId="0" quotePrefix="1" applyFont="1" applyBorder="1" applyAlignment="1">
      <alignment horizontal="left" indent="1"/>
    </xf>
    <xf numFmtId="0" fontId="10" fillId="0" borderId="16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1" fontId="10" fillId="0" borderId="16" xfId="0" applyNumberFormat="1" applyFont="1" applyBorder="1" applyAlignment="1">
      <alignment horizontal="center"/>
    </xf>
    <xf numFmtId="1" fontId="10" fillId="0" borderId="23" xfId="0" applyNumberFormat="1" applyFont="1" applyBorder="1" applyAlignment="1">
      <alignment horizontal="center"/>
    </xf>
    <xf numFmtId="0" fontId="17" fillId="0" borderId="22" xfId="0" applyFont="1" applyBorder="1"/>
    <xf numFmtId="0" fontId="30" fillId="0" borderId="0" xfId="0" applyFont="1"/>
    <xf numFmtId="0" fontId="31" fillId="0" borderId="0" xfId="0" applyFont="1"/>
    <xf numFmtId="0" fontId="10" fillId="0" borderId="0" xfId="0" applyFont="1" applyAlignment="1">
      <alignment horizontal="left"/>
    </xf>
    <xf numFmtId="0" fontId="32" fillId="0" borderId="0" xfId="0" applyFont="1"/>
    <xf numFmtId="1" fontId="12" fillId="0" borderId="0" xfId="0" applyNumberFormat="1" applyFont="1" applyBorder="1" applyAlignment="1"/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7" fillId="0" borderId="0" xfId="0" applyFont="1" applyBorder="1" applyAlignment="1">
      <alignment horizontal="center"/>
    </xf>
    <xf numFmtId="12" fontId="10" fillId="0" borderId="0" xfId="0" applyNumberFormat="1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34" fillId="0" borderId="0" xfId="0" applyFont="1"/>
    <xf numFmtId="0" fontId="36" fillId="0" borderId="0" xfId="0" applyFont="1"/>
    <xf numFmtId="0" fontId="34" fillId="0" borderId="0" xfId="0" applyFont="1" applyBorder="1"/>
    <xf numFmtId="0" fontId="34" fillId="2" borderId="0" xfId="0" applyFont="1" applyFill="1" applyBorder="1"/>
    <xf numFmtId="1" fontId="37" fillId="0" borderId="0" xfId="0" applyNumberFormat="1" applyFont="1" applyBorder="1" applyAlignment="1">
      <alignment horizontal="center"/>
    </xf>
    <xf numFmtId="12" fontId="34" fillId="0" borderId="0" xfId="0" applyNumberFormat="1" applyFont="1" applyAlignment="1"/>
    <xf numFmtId="12" fontId="34" fillId="0" borderId="0" xfId="0" applyNumberFormat="1" applyFont="1" applyAlignment="1">
      <alignment horizontal="center"/>
    </xf>
    <xf numFmtId="0" fontId="34" fillId="3" borderId="0" xfId="0" applyFont="1" applyFill="1" applyBorder="1"/>
    <xf numFmtId="1" fontId="37" fillId="0" borderId="0" xfId="0" applyNumberFormat="1" applyFont="1" applyAlignment="1">
      <alignment horizontal="center"/>
    </xf>
    <xf numFmtId="1" fontId="37" fillId="0" borderId="0" xfId="0" applyNumberFormat="1" applyFont="1" applyBorder="1" applyAlignment="1">
      <alignment horizontal="right"/>
    </xf>
    <xf numFmtId="2" fontId="37" fillId="0" borderId="0" xfId="0" applyNumberFormat="1" applyFont="1" applyBorder="1"/>
    <xf numFmtId="12" fontId="34" fillId="0" borderId="0" xfId="0" applyNumberFormat="1" applyFont="1"/>
    <xf numFmtId="0" fontId="37" fillId="0" borderId="0" xfId="0" applyNumberFormat="1" applyFont="1" applyBorder="1" applyAlignment="1">
      <alignment horizontal="center"/>
    </xf>
    <xf numFmtId="0" fontId="34" fillId="0" borderId="5" xfId="0" applyFont="1" applyBorder="1"/>
    <xf numFmtId="0" fontId="37" fillId="0" borderId="6" xfId="0" applyFont="1" applyBorder="1" applyAlignment="1">
      <alignment horizontal="center"/>
    </xf>
    <xf numFmtId="164" fontId="37" fillId="0" borderId="6" xfId="1" applyFont="1" applyBorder="1" applyAlignment="1">
      <alignment horizontal="center"/>
    </xf>
    <xf numFmtId="0" fontId="37" fillId="0" borderId="6" xfId="0" applyFont="1" applyBorder="1" applyAlignment="1">
      <alignment horizontal="right"/>
    </xf>
    <xf numFmtId="0" fontId="39" fillId="0" borderId="7" xfId="0" applyFont="1" applyBorder="1" applyAlignment="1">
      <alignment horizontal="right"/>
    </xf>
    <xf numFmtId="12" fontId="34" fillId="0" borderId="4" xfId="0" applyNumberFormat="1" applyFont="1" applyBorder="1" applyAlignment="1">
      <alignment horizontal="left" indent="1"/>
    </xf>
    <xf numFmtId="1" fontId="40" fillId="0" borderId="4" xfId="1" applyNumberFormat="1" applyFont="1" applyBorder="1" applyAlignment="1">
      <alignment horizontal="center"/>
    </xf>
    <xf numFmtId="0" fontId="39" fillId="0" borderId="4" xfId="0" applyFont="1" applyBorder="1" applyAlignment="1">
      <alignment horizontal="right"/>
    </xf>
    <xf numFmtId="0" fontId="37" fillId="0" borderId="4" xfId="0" applyFont="1" applyBorder="1" applyAlignment="1">
      <alignment horizontal="right"/>
    </xf>
    <xf numFmtId="0" fontId="41" fillId="0" borderId="0" xfId="0" applyFont="1"/>
    <xf numFmtId="0" fontId="37" fillId="0" borderId="7" xfId="0" applyFont="1" applyBorder="1" applyAlignment="1">
      <alignment horizontal="right"/>
    </xf>
    <xf numFmtId="1" fontId="38" fillId="0" borderId="4" xfId="1" applyNumberFormat="1" applyFont="1" applyBorder="1" applyAlignment="1">
      <alignment horizontal="center"/>
    </xf>
    <xf numFmtId="1" fontId="37" fillId="0" borderId="4" xfId="1" applyNumberFormat="1" applyFont="1" applyBorder="1" applyAlignment="1">
      <alignment horizontal="center"/>
    </xf>
    <xf numFmtId="1" fontId="34" fillId="0" borderId="4" xfId="1" applyNumberFormat="1" applyFont="1" applyBorder="1" applyAlignment="1">
      <alignment horizontal="center"/>
    </xf>
    <xf numFmtId="0" fontId="34" fillId="0" borderId="0" xfId="0" applyFont="1" applyFill="1" applyBorder="1"/>
    <xf numFmtId="0" fontId="34" fillId="0" borderId="1" xfId="0" applyFont="1" applyBorder="1"/>
    <xf numFmtId="0" fontId="37" fillId="0" borderId="4" xfId="0" applyFont="1" applyFill="1" applyBorder="1" applyAlignment="1">
      <alignment horizontal="right"/>
    </xf>
    <xf numFmtId="164" fontId="39" fillId="0" borderId="4" xfId="1" applyFont="1" applyBorder="1" applyAlignment="1">
      <alignment horizontal="center"/>
    </xf>
    <xf numFmtId="0" fontId="34" fillId="0" borderId="16" xfId="0" applyFont="1" applyBorder="1" applyAlignment="1"/>
    <xf numFmtId="0" fontId="34" fillId="0" borderId="0" xfId="0" applyFont="1" applyBorder="1" applyAlignment="1"/>
    <xf numFmtId="0" fontId="34" fillId="0" borderId="1" xfId="0" applyFont="1" applyBorder="1" applyAlignment="1"/>
    <xf numFmtId="1" fontId="42" fillId="0" borderId="4" xfId="1" applyNumberFormat="1" applyFont="1" applyBorder="1" applyAlignment="1">
      <alignment horizontal="center"/>
    </xf>
    <xf numFmtId="0" fontId="37" fillId="0" borderId="8" xfId="0" applyFont="1" applyBorder="1" applyAlignment="1">
      <alignment horizontal="right"/>
    </xf>
    <xf numFmtId="12" fontId="34" fillId="0" borderId="9" xfId="0" applyNumberFormat="1" applyFont="1" applyBorder="1" applyAlignment="1">
      <alignment horizontal="left" indent="1"/>
    </xf>
    <xf numFmtId="1" fontId="38" fillId="0" borderId="9" xfId="1" applyNumberFormat="1" applyFont="1" applyBorder="1" applyAlignment="1">
      <alignment horizontal="center"/>
    </xf>
    <xf numFmtId="0" fontId="37" fillId="0" borderId="9" xfId="0" applyFont="1" applyBorder="1" applyAlignment="1">
      <alignment horizontal="right"/>
    </xf>
    <xf numFmtId="166" fontId="34" fillId="0" borderId="9" xfId="1" applyNumberFormat="1" applyFont="1" applyBorder="1" applyAlignment="1">
      <alignment horizontal="center"/>
    </xf>
    <xf numFmtId="0" fontId="34" fillId="0" borderId="2" xfId="0" applyFont="1" applyBorder="1"/>
    <xf numFmtId="0" fontId="34" fillId="0" borderId="3" xfId="0" applyFont="1" applyBorder="1" applyAlignment="1"/>
    <xf numFmtId="0" fontId="37" fillId="0" borderId="22" xfId="0" applyFont="1" applyBorder="1"/>
    <xf numFmtId="0" fontId="43" fillId="0" borderId="0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2" fontId="34" fillId="0" borderId="0" xfId="1" applyNumberFormat="1" applyFont="1" applyAlignment="1">
      <alignment horizontal="center"/>
    </xf>
    <xf numFmtId="1" fontId="34" fillId="0" borderId="0" xfId="1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9" fontId="34" fillId="0" borderId="0" xfId="128" applyFont="1" applyAlignment="1">
      <alignment horizontal="center"/>
    </xf>
    <xf numFmtId="2" fontId="34" fillId="0" borderId="0" xfId="1" applyNumberFormat="1" applyFont="1" applyAlignment="1">
      <alignment horizontal="left" vertical="center" indent="1"/>
    </xf>
    <xf numFmtId="164" fontId="34" fillId="0" borderId="0" xfId="1" applyFont="1"/>
    <xf numFmtId="1" fontId="34" fillId="0" borderId="0" xfId="1" applyNumberFormat="1" applyFont="1"/>
    <xf numFmtId="1" fontId="34" fillId="0" borderId="0" xfId="0" applyNumberFormat="1" applyFont="1"/>
    <xf numFmtId="9" fontId="34" fillId="0" borderId="0" xfId="128" applyFont="1"/>
    <xf numFmtId="0" fontId="37" fillId="0" borderId="22" xfId="0" applyFont="1" applyBorder="1" applyAlignment="1"/>
    <xf numFmtId="0" fontId="34" fillId="0" borderId="22" xfId="0" applyFont="1" applyBorder="1"/>
    <xf numFmtId="0" fontId="34" fillId="0" borderId="22" xfId="0" applyFont="1" applyBorder="1" applyAlignment="1"/>
    <xf numFmtId="0" fontId="43" fillId="0" borderId="0" xfId="0" applyFont="1" applyBorder="1" applyAlignment="1"/>
    <xf numFmtId="0" fontId="43" fillId="0" borderId="0" xfId="0" applyFont="1"/>
    <xf numFmtId="0" fontId="43" fillId="0" borderId="0" xfId="0" applyFont="1" applyBorder="1" applyAlignment="1">
      <alignment horizontal="center"/>
    </xf>
    <xf numFmtId="0" fontId="37" fillId="0" borderId="0" xfId="0" applyFont="1" applyBorder="1" applyAlignment="1">
      <alignment horizontal="right"/>
    </xf>
    <xf numFmtId="0" fontId="34" fillId="0" borderId="0" xfId="0" quotePrefix="1" applyFont="1" applyBorder="1" applyAlignment="1">
      <alignment horizontal="left" indent="1"/>
    </xf>
    <xf numFmtId="0" fontId="34" fillId="0" borderId="0" xfId="0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0" fontId="44" fillId="0" borderId="0" xfId="0" applyFont="1"/>
    <xf numFmtId="0" fontId="45" fillId="0" borderId="0" xfId="0" applyFont="1" applyAlignment="1">
      <alignment horizontal="right"/>
    </xf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center"/>
    </xf>
    <xf numFmtId="0" fontId="34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0" fontId="10" fillId="6" borderId="0" xfId="0" applyFont="1" applyFill="1" applyBorder="1"/>
    <xf numFmtId="1" fontId="46" fillId="0" borderId="0" xfId="0" applyNumberFormat="1" applyFont="1" applyBorder="1" applyAlignment="1">
      <alignment horizontal="center"/>
    </xf>
    <xf numFmtId="12" fontId="47" fillId="0" borderId="0" xfId="0" applyNumberFormat="1" applyFont="1" applyAlignment="1">
      <alignment horizontal="center"/>
    </xf>
    <xf numFmtId="1" fontId="46" fillId="0" borderId="0" xfId="0" applyNumberFormat="1" applyFont="1" applyFill="1" applyBorder="1" applyAlignment="1">
      <alignment horizontal="left"/>
    </xf>
    <xf numFmtId="164" fontId="12" fillId="0" borderId="6" xfId="255" applyFont="1" applyBorder="1" applyAlignment="1">
      <alignment horizontal="center"/>
    </xf>
    <xf numFmtId="1" fontId="13" fillId="0" borderId="4" xfId="255" applyNumberFormat="1" applyFont="1" applyBorder="1" applyAlignment="1">
      <alignment horizontal="center"/>
    </xf>
    <xf numFmtId="1" fontId="15" fillId="0" borderId="4" xfId="255" applyNumberFormat="1" applyFont="1" applyBorder="1" applyAlignment="1">
      <alignment horizontal="center"/>
    </xf>
    <xf numFmtId="1" fontId="12" fillId="0" borderId="4" xfId="255" applyNumberFormat="1" applyFont="1" applyBorder="1" applyAlignment="1">
      <alignment horizontal="center"/>
    </xf>
    <xf numFmtId="167" fontId="13" fillId="0" borderId="4" xfId="255" applyNumberFormat="1" applyFont="1" applyBorder="1" applyAlignment="1">
      <alignment horizontal="center"/>
    </xf>
    <xf numFmtId="0" fontId="46" fillId="0" borderId="16" xfId="0" applyFont="1" applyBorder="1" applyAlignment="1"/>
    <xf numFmtId="1" fontId="16" fillId="0" borderId="4" xfId="255" applyNumberFormat="1" applyFont="1" applyBorder="1" applyAlignment="1">
      <alignment horizontal="center"/>
    </xf>
    <xf numFmtId="1" fontId="15" fillId="0" borderId="9" xfId="255" applyNumberFormat="1" applyFont="1" applyBorder="1" applyAlignment="1">
      <alignment horizontal="center"/>
    </xf>
    <xf numFmtId="166" fontId="10" fillId="0" borderId="9" xfId="255" applyNumberFormat="1" applyFont="1" applyBorder="1" applyAlignment="1">
      <alignment horizontal="center"/>
    </xf>
    <xf numFmtId="1" fontId="10" fillId="0" borderId="0" xfId="255" applyNumberFormat="1" applyFont="1"/>
    <xf numFmtId="0" fontId="10" fillId="0" borderId="0" xfId="255" applyNumberFormat="1" applyFont="1"/>
    <xf numFmtId="164" fontId="10" fillId="0" borderId="0" xfId="255" applyFont="1"/>
    <xf numFmtId="0" fontId="10" fillId="5" borderId="0" xfId="0" applyFont="1" applyFill="1" applyBorder="1"/>
    <xf numFmtId="0" fontId="48" fillId="5" borderId="0" xfId="0" applyFont="1" applyFill="1" applyBorder="1"/>
    <xf numFmtId="12" fontId="23" fillId="0" borderId="0" xfId="0" applyNumberFormat="1" applyFont="1" applyAlignment="1">
      <alignment horizontal="right"/>
    </xf>
    <xf numFmtId="12" fontId="23" fillId="0" borderId="0" xfId="0" applyNumberFormat="1" applyFont="1" applyAlignment="1">
      <alignment horizontal="left" vertical="center"/>
    </xf>
    <xf numFmtId="1" fontId="10" fillId="0" borderId="0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12" fontId="10" fillId="0" borderId="0" xfId="0" applyNumberFormat="1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10" fillId="7" borderId="0" xfId="0" applyFont="1" applyFill="1" applyBorder="1"/>
    <xf numFmtId="1" fontId="10" fillId="0" borderId="0" xfId="0" applyNumberFormat="1" applyFont="1" applyFill="1"/>
    <xf numFmtId="12" fontId="23" fillId="0" borderId="0" xfId="0" applyNumberFormat="1" applyFont="1" applyAlignment="1">
      <alignment horizontal="right" vertical="top"/>
    </xf>
    <xf numFmtId="12" fontId="49" fillId="0" borderId="0" xfId="0" applyNumberFormat="1" applyFont="1" applyAlignment="1"/>
    <xf numFmtId="12" fontId="49" fillId="0" borderId="0" xfId="0" applyNumberFormat="1" applyFont="1" applyAlignment="1">
      <alignment horizontal="center"/>
    </xf>
    <xf numFmtId="12" fontId="49" fillId="0" borderId="4" xfId="0" applyNumberFormat="1" applyFont="1" applyBorder="1" applyAlignment="1">
      <alignment horizontal="left" indent="1"/>
    </xf>
    <xf numFmtId="12" fontId="49" fillId="0" borderId="9" xfId="0" applyNumberFormat="1" applyFont="1" applyBorder="1" applyAlignment="1">
      <alignment horizontal="left" indent="1"/>
    </xf>
    <xf numFmtId="1" fontId="12" fillId="0" borderId="0" xfId="0" applyNumberFormat="1" applyFont="1" applyFill="1" applyBorder="1" applyAlignment="1">
      <alignment horizontal="left"/>
    </xf>
    <xf numFmtId="0" fontId="50" fillId="0" borderId="0" xfId="0" applyFont="1" applyFill="1" applyBorder="1"/>
    <xf numFmtId="0" fontId="50" fillId="0" borderId="0" xfId="0" applyFont="1"/>
    <xf numFmtId="2" fontId="15" fillId="0" borderId="11" xfId="1" applyNumberFormat="1" applyFont="1" applyBorder="1" applyAlignment="1">
      <alignment horizontal="center"/>
    </xf>
    <xf numFmtId="2" fontId="15" fillId="0" borderId="15" xfId="1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64" fontId="15" fillId="0" borderId="10" xfId="1" applyFont="1" applyBorder="1" applyAlignment="1">
      <alignment horizontal="center"/>
    </xf>
    <xf numFmtId="164" fontId="15" fillId="0" borderId="14" xfId="1" applyFont="1" applyBorder="1" applyAlignment="1">
      <alignment horizontal="center"/>
    </xf>
    <xf numFmtId="165" fontId="10" fillId="0" borderId="6" xfId="0" applyNumberFormat="1" applyFont="1" applyBorder="1" applyAlignment="1">
      <alignment horizontal="center"/>
    </xf>
    <xf numFmtId="165" fontId="10" fillId="0" borderId="19" xfId="0" applyNumberFormat="1" applyFont="1" applyBorder="1" applyAlignment="1">
      <alignment horizontal="center"/>
    </xf>
    <xf numFmtId="2" fontId="13" fillId="0" borderId="11" xfId="1" applyNumberFormat="1" applyFont="1" applyBorder="1" applyAlignment="1">
      <alignment horizontal="center"/>
    </xf>
    <xf numFmtId="2" fontId="13" fillId="0" borderId="15" xfId="1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166" fontId="15" fillId="0" borderId="11" xfId="1" applyNumberFormat="1" applyFont="1" applyBorder="1" applyAlignment="1">
      <alignment horizontal="center"/>
    </xf>
    <xf numFmtId="166" fontId="15" fillId="0" borderId="15" xfId="1" applyNumberFormat="1" applyFont="1" applyBorder="1" applyAlignment="1">
      <alignment horizontal="center"/>
    </xf>
    <xf numFmtId="166" fontId="10" fillId="0" borderId="11" xfId="0" applyNumberFormat="1" applyFont="1" applyBorder="1" applyAlignment="1">
      <alignment horizontal="center"/>
    </xf>
    <xf numFmtId="166" fontId="10" fillId="0" borderId="12" xfId="0" applyNumberFormat="1" applyFont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0" borderId="16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2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/>
    </xf>
    <xf numFmtId="166" fontId="9" fillId="0" borderId="0" xfId="0" applyNumberFormat="1" applyFont="1" applyBorder="1" applyAlignment="1">
      <alignment horizontal="center" vertical="center"/>
    </xf>
    <xf numFmtId="166" fontId="21" fillId="0" borderId="0" xfId="0" applyNumberFormat="1" applyFont="1" applyBorder="1" applyAlignment="1">
      <alignment horizontal="center" vertical="center"/>
    </xf>
    <xf numFmtId="166" fontId="10" fillId="0" borderId="4" xfId="0" applyNumberFormat="1" applyFont="1" applyBorder="1" applyAlignment="1">
      <alignment horizontal="center"/>
    </xf>
    <xf numFmtId="166" fontId="10" fillId="0" borderId="20" xfId="0" applyNumberFormat="1" applyFont="1" applyBorder="1" applyAlignment="1">
      <alignment horizontal="center"/>
    </xf>
    <xf numFmtId="0" fontId="12" fillId="0" borderId="22" xfId="0" applyFont="1" applyBorder="1" applyAlignment="1">
      <alignment horizontal="left"/>
    </xf>
    <xf numFmtId="0" fontId="22" fillId="0" borderId="0" xfId="0" applyFont="1" applyBorder="1" applyAlignment="1">
      <alignment horizontal="center" vertical="center"/>
    </xf>
    <xf numFmtId="0" fontId="10" fillId="0" borderId="16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5" fillId="0" borderId="10" xfId="255" applyFont="1" applyBorder="1" applyAlignment="1">
      <alignment horizontal="center"/>
    </xf>
    <xf numFmtId="164" fontId="15" fillId="0" borderId="14" xfId="255" applyFont="1" applyBorder="1" applyAlignment="1">
      <alignment horizontal="center"/>
    </xf>
    <xf numFmtId="2" fontId="12" fillId="0" borderId="11" xfId="255" applyNumberFormat="1" applyFont="1" applyBorder="1" applyAlignment="1">
      <alignment horizontal="center"/>
    </xf>
    <xf numFmtId="2" fontId="12" fillId="0" borderId="15" xfId="255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2" fontId="14" fillId="0" borderId="11" xfId="1" applyNumberFormat="1" applyFont="1" applyBorder="1" applyAlignment="1">
      <alignment horizontal="center"/>
    </xf>
    <xf numFmtId="2" fontId="14" fillId="0" borderId="15" xfId="1" applyNumberFormat="1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2" fontId="40" fillId="0" borderId="11" xfId="1" applyNumberFormat="1" applyFont="1" applyBorder="1" applyAlignment="1">
      <alignment horizontal="center"/>
    </xf>
    <xf numFmtId="2" fontId="40" fillId="0" borderId="15" xfId="1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64" fontId="38" fillId="0" borderId="10" xfId="1" applyFont="1" applyBorder="1" applyAlignment="1">
      <alignment horizontal="center"/>
    </xf>
    <xf numFmtId="164" fontId="38" fillId="0" borderId="14" xfId="1" applyFont="1" applyBorder="1" applyAlignment="1">
      <alignment horizontal="center"/>
    </xf>
    <xf numFmtId="165" fontId="34" fillId="0" borderId="6" xfId="0" applyNumberFormat="1" applyFont="1" applyBorder="1" applyAlignment="1">
      <alignment horizontal="center"/>
    </xf>
    <xf numFmtId="165" fontId="34" fillId="0" borderId="19" xfId="0" applyNumberFormat="1" applyFont="1" applyBorder="1" applyAlignment="1">
      <alignment horizontal="center"/>
    </xf>
    <xf numFmtId="2" fontId="39" fillId="0" borderId="11" xfId="1" applyNumberFormat="1" applyFont="1" applyBorder="1" applyAlignment="1">
      <alignment horizontal="center"/>
    </xf>
    <xf numFmtId="2" fontId="39" fillId="0" borderId="15" xfId="1" applyNumberFormat="1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10" fillId="0" borderId="0" xfId="0" applyFont="1" applyAlignment="1">
      <alignment vertical="top" wrapText="1"/>
    </xf>
    <xf numFmtId="0" fontId="12" fillId="0" borderId="22" xfId="0" applyFont="1" applyBorder="1" applyAlignment="1">
      <alignment horizontal="center"/>
    </xf>
    <xf numFmtId="12" fontId="10" fillId="0" borderId="0" xfId="0" applyNumberFormat="1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64" fontId="15" fillId="0" borderId="10" xfId="0" applyNumberFormat="1" applyFont="1" applyBorder="1" applyAlignment="1">
      <alignment horizontal="center"/>
    </xf>
    <xf numFmtId="164" fontId="15" fillId="0" borderId="14" xfId="0" applyNumberFormat="1" applyFont="1" applyBorder="1" applyAlignment="1">
      <alignment horizontal="center"/>
    </xf>
  </cellXfs>
  <cellStyles count="272">
    <cellStyle name="Comma" xfId="1" builtinId="3"/>
    <cellStyle name="Comma 2" xfId="255" xr:uid="{00000000-0005-0000-0000-000001000000}"/>
    <cellStyle name="Followed Hyperlink" xfId="43" builtinId="9" hidden="1"/>
    <cellStyle name="Followed Hyperlink" xfId="53" builtinId="9" hidden="1"/>
    <cellStyle name="Followed Hyperlink" xfId="65" builtinId="9" hidden="1"/>
    <cellStyle name="Followed Hyperlink" xfId="39" builtinId="9" hidden="1"/>
    <cellStyle name="Followed Hyperlink" xfId="13" builtinId="9" hidden="1"/>
    <cellStyle name="Followed Hyperlink" xfId="15" builtinId="9" hidden="1"/>
    <cellStyle name="Followed Hyperlink" xfId="3" builtinId="9" hidden="1"/>
    <cellStyle name="Followed Hyperlink" xfId="7" builtinId="9" hidden="1"/>
    <cellStyle name="Followed Hyperlink" xfId="17" builtinId="9" hidden="1"/>
    <cellStyle name="Followed Hyperlink" xfId="31" builtinId="9" hidden="1"/>
    <cellStyle name="Followed Hyperlink" xfId="63" builtinId="9" hidden="1"/>
    <cellStyle name="Followed Hyperlink" xfId="57" builtinId="9" hidden="1"/>
    <cellStyle name="Followed Hyperlink" xfId="45" builtinId="9" hidden="1"/>
    <cellStyle name="Followed Hyperlink" xfId="35" builtinId="9" hidden="1"/>
    <cellStyle name="Followed Hyperlink" xfId="25" builtinId="9" hidden="1"/>
    <cellStyle name="Followed Hyperlink" xfId="79" builtinId="9" hidden="1"/>
    <cellStyle name="Followed Hyperlink" xfId="95" builtinId="9" hidden="1"/>
    <cellStyle name="Followed Hyperlink" xfId="111" builtinId="9" hidden="1"/>
    <cellStyle name="Followed Hyperlink" xfId="127" builtinId="9" hidden="1"/>
    <cellStyle name="Followed Hyperlink" xfId="144" builtinId="9" hidden="1"/>
    <cellStyle name="Followed Hyperlink" xfId="160" builtinId="9" hidden="1"/>
    <cellStyle name="Followed Hyperlink" xfId="176" builtinId="9" hidden="1"/>
    <cellStyle name="Followed Hyperlink" xfId="192" builtinId="9" hidden="1"/>
    <cellStyle name="Followed Hyperlink" xfId="208" builtinId="9" hidden="1"/>
    <cellStyle name="Followed Hyperlink" xfId="224" builtinId="9" hidden="1"/>
    <cellStyle name="Followed Hyperlink" xfId="240" builtinId="9" hidden="1"/>
    <cellStyle name="Followed Hyperlink" xfId="246" builtinId="9" hidden="1"/>
    <cellStyle name="Followed Hyperlink" xfId="230" builtinId="9" hidden="1"/>
    <cellStyle name="Followed Hyperlink" xfId="214" builtinId="9" hidden="1"/>
    <cellStyle name="Followed Hyperlink" xfId="198" builtinId="9" hidden="1"/>
    <cellStyle name="Followed Hyperlink" xfId="117" builtinId="9" hidden="1"/>
    <cellStyle name="Followed Hyperlink" xfId="130" builtinId="9" hidden="1"/>
    <cellStyle name="Followed Hyperlink" xfId="138" builtinId="9" hidden="1"/>
    <cellStyle name="Followed Hyperlink" xfId="150" builtinId="9" hidden="1"/>
    <cellStyle name="Followed Hyperlink" xfId="162" builtinId="9" hidden="1"/>
    <cellStyle name="Followed Hyperlink" xfId="170" builtinId="9" hidden="1"/>
    <cellStyle name="Followed Hyperlink" xfId="182" builtinId="9" hidden="1"/>
    <cellStyle name="Followed Hyperlink" xfId="194" builtinId="9" hidden="1"/>
    <cellStyle name="Followed Hyperlink" xfId="174" builtinId="9" hidden="1"/>
    <cellStyle name="Followed Hyperlink" xfId="142" builtinId="9" hidden="1"/>
    <cellStyle name="Followed Hyperlink" xfId="109" builtinId="9" hidden="1"/>
    <cellStyle name="Followed Hyperlink" xfId="89" builtinId="9" hidden="1"/>
    <cellStyle name="Followed Hyperlink" xfId="101" builtinId="9" hidden="1"/>
    <cellStyle name="Followed Hyperlink" xfId="93" builtinId="9" hidden="1"/>
    <cellStyle name="Followed Hyperlink" xfId="81" builtinId="9" hidden="1"/>
    <cellStyle name="Followed Hyperlink" xfId="69" builtinId="9" hidden="1"/>
    <cellStyle name="Followed Hyperlink" xfId="73" builtinId="9" hidden="1"/>
    <cellStyle name="Followed Hyperlink" xfId="77" builtinId="9" hidden="1"/>
    <cellStyle name="Followed Hyperlink" xfId="105" builtinId="9" hidden="1"/>
    <cellStyle name="Followed Hyperlink" xfId="97" builtinId="9" hidden="1"/>
    <cellStyle name="Followed Hyperlink" xfId="85" builtinId="9" hidden="1"/>
    <cellStyle name="Followed Hyperlink" xfId="125" builtinId="9" hidden="1"/>
    <cellStyle name="Followed Hyperlink" xfId="158" builtinId="9" hidden="1"/>
    <cellStyle name="Followed Hyperlink" xfId="190" builtinId="9" hidden="1"/>
    <cellStyle name="Followed Hyperlink" xfId="186" builtinId="9" hidden="1"/>
    <cellStyle name="Followed Hyperlink" xfId="178" builtinId="9" hidden="1"/>
    <cellStyle name="Followed Hyperlink" xfId="166" builtinId="9" hidden="1"/>
    <cellStyle name="Followed Hyperlink" xfId="154" builtinId="9" hidden="1"/>
    <cellStyle name="Followed Hyperlink" xfId="146" builtinId="9" hidden="1"/>
    <cellStyle name="Followed Hyperlink" xfId="134" builtinId="9" hidden="1"/>
    <cellStyle name="Followed Hyperlink" xfId="121" builtinId="9" hidden="1"/>
    <cellStyle name="Followed Hyperlink" xfId="113" builtinId="9" hidden="1"/>
    <cellStyle name="Followed Hyperlink" xfId="206" builtinId="9" hidden="1"/>
    <cellStyle name="Followed Hyperlink" xfId="222" builtinId="9" hidden="1"/>
    <cellStyle name="Followed Hyperlink" xfId="238" builtinId="9" hidden="1"/>
    <cellStyle name="Followed Hyperlink" xfId="248" builtinId="9" hidden="1"/>
    <cellStyle name="Followed Hyperlink" xfId="232" builtinId="9" hidden="1"/>
    <cellStyle name="Followed Hyperlink" xfId="216" builtinId="9" hidden="1"/>
    <cellStyle name="Followed Hyperlink" xfId="200" builtinId="9" hidden="1"/>
    <cellStyle name="Followed Hyperlink" xfId="184" builtinId="9" hidden="1"/>
    <cellStyle name="Followed Hyperlink" xfId="168" builtinId="9" hidden="1"/>
    <cellStyle name="Followed Hyperlink" xfId="152" builtinId="9" hidden="1"/>
    <cellStyle name="Followed Hyperlink" xfId="136" builtinId="9" hidden="1"/>
    <cellStyle name="Followed Hyperlink" xfId="119" builtinId="9" hidden="1"/>
    <cellStyle name="Followed Hyperlink" xfId="103" builtinId="9" hidden="1"/>
    <cellStyle name="Followed Hyperlink" xfId="87" builtinId="9" hidden="1"/>
    <cellStyle name="Followed Hyperlink" xfId="71" builtinId="9" hidden="1"/>
    <cellStyle name="Followed Hyperlink" xfId="29" builtinId="9" hidden="1"/>
    <cellStyle name="Followed Hyperlink" xfId="41" builtinId="9" hidden="1"/>
    <cellStyle name="Followed Hyperlink" xfId="51" builtinId="9" hidden="1"/>
    <cellStyle name="Followed Hyperlink" xfId="61" builtinId="9" hidden="1"/>
    <cellStyle name="Followed Hyperlink" xfId="47" builtinId="9" hidden="1"/>
    <cellStyle name="Followed Hyperlink" xfId="11" builtinId="9" hidden="1"/>
    <cellStyle name="Followed Hyperlink" xfId="21" builtinId="9" hidden="1"/>
    <cellStyle name="Followed Hyperlink" xfId="5" builtinId="9" hidden="1"/>
    <cellStyle name="Followed Hyperlink" xfId="9" builtinId="9" hidden="1"/>
    <cellStyle name="Followed Hyperlink" xfId="19" builtinId="9" hidden="1"/>
    <cellStyle name="Followed Hyperlink" xfId="23" builtinId="9" hidden="1"/>
    <cellStyle name="Followed Hyperlink" xfId="55" builtinId="9" hidden="1"/>
    <cellStyle name="Followed Hyperlink" xfId="59" builtinId="9" hidden="1"/>
    <cellStyle name="Followed Hyperlink" xfId="49" builtinId="9" hidden="1"/>
    <cellStyle name="Followed Hyperlink" xfId="37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80" builtinId="9" hidden="1"/>
    <cellStyle name="Followed Hyperlink" xfId="172" builtinId="9" hidden="1"/>
    <cellStyle name="Followed Hyperlink" xfId="164" builtinId="9" hidden="1"/>
    <cellStyle name="Followed Hyperlink" xfId="148" builtinId="9" hidden="1"/>
    <cellStyle name="Followed Hyperlink" xfId="140" builtinId="9" hidden="1"/>
    <cellStyle name="Followed Hyperlink" xfId="132" builtinId="9" hidden="1"/>
    <cellStyle name="Followed Hyperlink" xfId="115" builtinId="9" hidden="1"/>
    <cellStyle name="Followed Hyperlink" xfId="107" builtinId="9" hidden="1"/>
    <cellStyle name="Followed Hyperlink" xfId="99" builtinId="9" hidden="1"/>
    <cellStyle name="Followed Hyperlink" xfId="83" builtinId="9" hidden="1"/>
    <cellStyle name="Followed Hyperlink" xfId="75" builtinId="9" hidden="1"/>
    <cellStyle name="Followed Hyperlink" xfId="67" builtinId="9" hidden="1"/>
    <cellStyle name="Followed Hyperlink" xfId="33" builtinId="9" hidden="1"/>
    <cellStyle name="Followed Hyperlink" xfId="27" builtinId="9" hidden="1"/>
    <cellStyle name="Followed Hyperlink" xfId="91" builtinId="9" hidden="1"/>
    <cellStyle name="Followed Hyperlink" xfId="123" builtinId="9" hidden="1"/>
    <cellStyle name="Followed Hyperlink" xfId="156" builtinId="9" hidden="1"/>
    <cellStyle name="Followed Hyperlink" xfId="188" builtinId="9" hidden="1"/>
    <cellStyle name="Followed Hyperlink" xfId="220" builtinId="9" hidden="1"/>
    <cellStyle name="Followed Hyperlink" xfId="234" builtinId="9" hidden="1"/>
    <cellStyle name="Followed Hyperlink" xfId="24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50" builtinId="9" hidden="1"/>
    <cellStyle name="Followed Hyperlink" xfId="218" builtinId="9" hidden="1"/>
    <cellStyle name="Followed Hyperlink" xfId="226" builtinId="9" hidden="1"/>
    <cellStyle name="Followed Hyperlink" xfId="210" builtinId="9" hidden="1"/>
    <cellStyle name="Followed Hyperlink" xfId="202" builtinId="9" hidden="1"/>
    <cellStyle name="Followed Hyperlink" xfId="252" builtinId="9" hidden="1"/>
    <cellStyle name="Followed Hyperlink" xfId="254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Hyperlink" xfId="16" builtinId="8" hidden="1"/>
    <cellStyle name="Hyperlink" xfId="46" builtinId="8" hidden="1"/>
    <cellStyle name="Hyperlink" xfId="30" builtinId="8" hidden="1"/>
    <cellStyle name="Hyperlink" xfId="58" builtinId="8" hidden="1"/>
    <cellStyle name="Hyperlink" xfId="108" builtinId="8" hidden="1"/>
    <cellStyle name="Hyperlink" xfId="88" builtinId="8" hidden="1"/>
    <cellStyle name="Hyperlink" xfId="80" builtinId="8" hidden="1"/>
    <cellStyle name="Hyperlink" xfId="70" builtinId="8" hidden="1"/>
    <cellStyle name="Hyperlink" xfId="52" builtinId="8" hidden="1"/>
    <cellStyle name="Hyperlink" xfId="122" builtinId="8" hidden="1"/>
    <cellStyle name="Hyperlink" xfId="155" builtinId="8" hidden="1"/>
    <cellStyle name="Hyperlink" xfId="219" builtinId="8" hidden="1"/>
    <cellStyle name="Hyperlink" xfId="173" builtinId="8" hidden="1"/>
    <cellStyle name="Hyperlink" xfId="175" builtinId="8" hidden="1"/>
    <cellStyle name="Hyperlink" xfId="181" builtinId="8" hidden="1"/>
    <cellStyle name="Hyperlink" xfId="183" builtinId="8" hidden="1"/>
    <cellStyle name="Hyperlink" xfId="189" builtinId="8" hidden="1"/>
    <cellStyle name="Hyperlink" xfId="193" builtinId="8" hidden="1"/>
    <cellStyle name="Hyperlink" xfId="197" builtinId="8" hidden="1"/>
    <cellStyle name="Hyperlink" xfId="199" builtinId="8" hidden="1"/>
    <cellStyle name="Hyperlink" xfId="205" builtinId="8" hidden="1"/>
    <cellStyle name="Hyperlink" xfId="209" builtinId="8" hidden="1"/>
    <cellStyle name="Hyperlink" xfId="213" builtinId="8" hidden="1"/>
    <cellStyle name="Hyperlink" xfId="217" builtinId="8" hidden="1"/>
    <cellStyle name="Hyperlink" xfId="221" builtinId="8" hidden="1"/>
    <cellStyle name="Hyperlink" xfId="223" builtinId="8" hidden="1"/>
    <cellStyle name="Hyperlink" xfId="231" builtinId="8" hidden="1"/>
    <cellStyle name="Hyperlink" xfId="233" builtinId="8" hidden="1"/>
    <cellStyle name="Hyperlink" xfId="237" builtinId="8" hidden="1"/>
    <cellStyle name="Hyperlink" xfId="241" builtinId="8" hidden="1"/>
    <cellStyle name="Hyperlink" xfId="245" builtinId="8" hidden="1"/>
    <cellStyle name="Hyperlink" xfId="247" builtinId="8" hidden="1"/>
    <cellStyle name="Hyperlink" xfId="249" builtinId="8" hidden="1"/>
    <cellStyle name="Hyperlink" xfId="229" builtinId="8" hidden="1"/>
    <cellStyle name="Hyperlink" xfId="207" builtinId="8" hidden="1"/>
    <cellStyle name="Hyperlink" xfId="137" builtinId="8" hidden="1"/>
    <cellStyle name="Hyperlink" xfId="141" builtinId="8" hidden="1"/>
    <cellStyle name="Hyperlink" xfId="145" builtinId="8" hidden="1"/>
    <cellStyle name="Hyperlink" xfId="151" builtinId="8" hidden="1"/>
    <cellStyle name="Hyperlink" xfId="153" builtinId="8" hidden="1"/>
    <cellStyle name="Hyperlink" xfId="157" builtinId="8" hidden="1"/>
    <cellStyle name="Hyperlink" xfId="161" builtinId="8" hidden="1"/>
    <cellStyle name="Hyperlink" xfId="165" builtinId="8" hidden="1"/>
    <cellStyle name="Hyperlink" xfId="167" builtinId="8" hidden="1"/>
    <cellStyle name="Hyperlink" xfId="143" builtinId="8" hidden="1"/>
    <cellStyle name="Hyperlink" xfId="124" builtinId="8" hidden="1"/>
    <cellStyle name="Hyperlink" xfId="126" builtinId="8" hidden="1"/>
    <cellStyle name="Hyperlink" xfId="133" builtinId="8" hidden="1"/>
    <cellStyle name="Hyperlink" xfId="135" builtinId="8" hidden="1"/>
    <cellStyle name="Hyperlink" xfId="116" builtinId="8" hidden="1"/>
    <cellStyle name="Hyperlink" xfId="120" builtinId="8" hidden="1"/>
    <cellStyle name="Hyperlink" xfId="112" builtinId="8" hidden="1"/>
    <cellStyle name="Hyperlink" xfId="110" builtinId="8" hidden="1"/>
    <cellStyle name="Hyperlink" xfId="118" builtinId="8" hidden="1"/>
    <cellStyle name="Hyperlink" xfId="129" builtinId="8" hidden="1"/>
    <cellStyle name="Hyperlink" xfId="169" builtinId="8" hidden="1"/>
    <cellStyle name="Hyperlink" xfId="159" builtinId="8" hidden="1"/>
    <cellStyle name="Hyperlink" xfId="149" builtinId="8" hidden="1"/>
    <cellStyle name="Hyperlink" xfId="185" builtinId="8" hidden="1"/>
    <cellStyle name="Hyperlink" xfId="243" builtinId="8" hidden="1"/>
    <cellStyle name="Hyperlink" xfId="239" builtinId="8" hidden="1"/>
    <cellStyle name="Hyperlink" xfId="225" builtinId="8" hidden="1"/>
    <cellStyle name="Hyperlink" xfId="215" builtinId="8" hidden="1"/>
    <cellStyle name="Hyperlink" xfId="201" builtinId="8" hidden="1"/>
    <cellStyle name="Hyperlink" xfId="191" builtinId="8" hidden="1"/>
    <cellStyle name="Hyperlink" xfId="177" builtinId="8" hidden="1"/>
    <cellStyle name="Hyperlink" xfId="187" builtinId="8" hidden="1"/>
    <cellStyle name="Hyperlink" xfId="62" builtinId="8" hidden="1"/>
    <cellStyle name="Hyperlink" xfId="98" builtinId="8" hidden="1"/>
    <cellStyle name="Hyperlink" xfId="38" builtinId="8" hidden="1"/>
    <cellStyle name="Hyperlink" xfId="82" builtinId="8" hidden="1"/>
    <cellStyle name="Hyperlink" xfId="84" builtinId="8" hidden="1"/>
    <cellStyle name="Hyperlink" xfId="86" builtinId="8" hidden="1"/>
    <cellStyle name="Hyperlink" xfId="92" builtinId="8" hidden="1"/>
    <cellStyle name="Hyperlink" xfId="94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90" builtinId="8" hidden="1"/>
    <cellStyle name="Hyperlink" xfId="74" builtinId="8" hidden="1"/>
    <cellStyle name="Hyperlink" xfId="22" builtinId="8" hidden="1"/>
    <cellStyle name="Hyperlink" xfId="28" builtinId="8" hidden="1"/>
    <cellStyle name="Hyperlink" xfId="32" builtinId="8" hidden="1"/>
    <cellStyle name="Hyperlink" xfId="34" builtinId="8" hidden="1"/>
    <cellStyle name="Hyperlink" xfId="36" builtinId="8" hidden="1"/>
    <cellStyle name="Hyperlink" xfId="40" builtinId="8" hidden="1"/>
    <cellStyle name="Hyperlink" xfId="42" builtinId="8" hidden="1"/>
    <cellStyle name="Hyperlink" xfId="44" builtinId="8" hidden="1"/>
    <cellStyle name="Hyperlink" xfId="12" builtinId="8" hidden="1"/>
    <cellStyle name="Hyperlink" xfId="14" builtinId="8" hidden="1"/>
    <cellStyle name="Hyperlink" xfId="18" builtinId="8" hidden="1"/>
    <cellStyle name="Hyperlink" xfId="20" builtinId="8" hidden="1"/>
    <cellStyle name="Hyperlink" xfId="6" builtinId="8" hidden="1"/>
    <cellStyle name="Hyperlink" xfId="10" builtinId="8" hidden="1"/>
    <cellStyle name="Hyperlink" xfId="4" builtinId="8" hidden="1"/>
    <cellStyle name="Hyperlink" xfId="8" builtinId="8" hidden="1"/>
    <cellStyle name="Hyperlink" xfId="2" builtinId="8" hidden="1"/>
    <cellStyle name="Hyperlink" xfId="26" builtinId="8" hidden="1"/>
    <cellStyle name="Hyperlink" xfId="24" builtinId="8" hidden="1"/>
    <cellStyle name="Hyperlink" xfId="96" builtinId="8" hidden="1"/>
    <cellStyle name="Hyperlink" xfId="131" builtinId="8" hidden="1"/>
    <cellStyle name="Hyperlink" xfId="114" builtinId="8" hidden="1"/>
    <cellStyle name="Hyperlink" xfId="50" builtinId="8" hidden="1"/>
    <cellStyle name="Hyperlink" xfId="54" builtinId="8" hidden="1"/>
    <cellStyle name="Hyperlink" xfId="56" builtinId="8" hidden="1"/>
    <cellStyle name="Hyperlink" xfId="60" builtinId="8" hidden="1"/>
    <cellStyle name="Hyperlink" xfId="64" builtinId="8" hidden="1"/>
    <cellStyle name="Hyperlink" xfId="66" builtinId="8" hidden="1"/>
    <cellStyle name="Hyperlink" xfId="68" builtinId="8" hidden="1"/>
    <cellStyle name="Hyperlink" xfId="72" builtinId="8" hidden="1"/>
    <cellStyle name="Hyperlink" xfId="76" builtinId="8" hidden="1"/>
    <cellStyle name="Hyperlink" xfId="78" builtinId="8" hidden="1"/>
    <cellStyle name="Hyperlink" xfId="48" builtinId="8" hidden="1"/>
    <cellStyle name="Hyperlink" xfId="179" builtinId="8" hidden="1"/>
    <cellStyle name="Hyperlink" xfId="171" builtinId="8" hidden="1"/>
    <cellStyle name="Hyperlink" xfId="163" builtinId="8" hidden="1"/>
    <cellStyle name="Hyperlink" xfId="147" builtinId="8" hidden="1"/>
    <cellStyle name="Hyperlink" xfId="139" builtinId="8" hidden="1"/>
    <cellStyle name="Hyperlink" xfId="211" builtinId="8" hidden="1"/>
    <cellStyle name="Hyperlink" xfId="203" builtinId="8" hidden="1"/>
    <cellStyle name="Hyperlink" xfId="195" builtinId="8" hidden="1"/>
    <cellStyle name="Hyperlink" xfId="227" builtinId="8" hidden="1"/>
    <cellStyle name="Hyperlink" xfId="235" builtinId="8" hidden="1"/>
    <cellStyle name="Hyperlink" xfId="251" builtinId="8" hidden="1"/>
    <cellStyle name="Hyperlink" xfId="253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Normal" xfId="0" builtinId="0"/>
    <cellStyle name="Percent" xfId="128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://screenexcellence.com/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8.tiff"/><Relationship Id="rId5" Type="http://schemas.openxmlformats.org/officeDocument/2006/relationships/image" Target="../media/image9.tiff"/><Relationship Id="rId4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Relationship Id="rId4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Relationship Id="rId5" Type="http://schemas.openxmlformats.org/officeDocument/2006/relationships/image" Target="../media/image13.tiff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Relationship Id="rId5" Type="http://schemas.openxmlformats.org/officeDocument/2006/relationships/image" Target="../media/image13.tiff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http://screenexcellence.com/" TargetMode="External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screenexcellence.com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http://screenexcellence.com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http://screenexcellence.com/" TargetMode="Externa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2654300</xdr:colOff>
      <xdr:row>0</xdr:row>
      <xdr:rowOff>101601</xdr:rowOff>
    </xdr:from>
    <xdr:to>
      <xdr:col>2</xdr:col>
      <xdr:colOff>4461912</xdr:colOff>
      <xdr:row>6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4300" y="101601"/>
          <a:ext cx="1807612" cy="1155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63</xdr:row>
      <xdr:rowOff>126999</xdr:rowOff>
    </xdr:from>
    <xdr:to>
      <xdr:col>3</xdr:col>
      <xdr:colOff>849229</xdr:colOff>
      <xdr:row>79</xdr:row>
      <xdr:rowOff>76200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600" y="11925299"/>
          <a:ext cx="2017629" cy="3378201"/>
        </a:xfrm>
        <a:prstGeom prst="rect">
          <a:avLst/>
        </a:prstGeom>
      </xdr:spPr>
    </xdr:pic>
    <xdr:clientData/>
  </xdr:twoCellAnchor>
  <xdr:twoCellAnchor>
    <xdr:from>
      <xdr:col>0</xdr:col>
      <xdr:colOff>477520</xdr:colOff>
      <xdr:row>6</xdr:row>
      <xdr:rowOff>77816</xdr:rowOff>
    </xdr:from>
    <xdr:to>
      <xdr:col>9</xdr:col>
      <xdr:colOff>243840</xdr:colOff>
      <xdr:row>27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520" y="1106516"/>
          <a:ext cx="7424420" cy="4280824"/>
        </a:xfrm>
        <a:prstGeom prst="rect">
          <a:avLst/>
        </a:prstGeom>
      </xdr:spPr>
    </xdr:pic>
    <xdr:clientData/>
  </xdr:twoCellAnchor>
  <xdr:twoCellAnchor>
    <xdr:from>
      <xdr:col>1</xdr:col>
      <xdr:colOff>579120</xdr:colOff>
      <xdr:row>15</xdr:row>
      <xdr:rowOff>10160</xdr:rowOff>
    </xdr:from>
    <xdr:to>
      <xdr:col>8</xdr:col>
      <xdr:colOff>172720</xdr:colOff>
      <xdr:row>15</xdr:row>
      <xdr:rowOff>20320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 flipV="1">
          <a:off x="1341120" y="2867660"/>
          <a:ext cx="566420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571138</xdr:colOff>
      <xdr:row>13</xdr:row>
      <xdr:rowOff>79832</xdr:rowOff>
    </xdr:from>
    <xdr:to>
      <xdr:col>8</xdr:col>
      <xdr:colOff>205378</xdr:colOff>
      <xdr:row>26</xdr:row>
      <xdr:rowOff>39192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CxnSpPr/>
      </xdr:nvCxnSpPr>
      <xdr:spPr>
        <a:xfrm flipV="1">
          <a:off x="1333138" y="2530932"/>
          <a:ext cx="5704840" cy="26009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469900</xdr:colOff>
      <xdr:row>7</xdr:row>
      <xdr:rowOff>150584</xdr:rowOff>
    </xdr:from>
    <xdr:to>
      <xdr:col>10</xdr:col>
      <xdr:colOff>515619</xdr:colOff>
      <xdr:row>26</xdr:row>
      <xdr:rowOff>139700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8953500" y="1788884"/>
          <a:ext cx="45719" cy="384991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76200</xdr:colOff>
      <xdr:row>6</xdr:row>
      <xdr:rowOff>127000</xdr:rowOff>
    </xdr:from>
    <xdr:to>
      <xdr:col>10</xdr:col>
      <xdr:colOff>91440</xdr:colOff>
      <xdr:row>27</xdr:row>
      <xdr:rowOff>63500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8559800" y="1358900"/>
          <a:ext cx="15240" cy="4203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13</xdr:row>
      <xdr:rowOff>81280</xdr:rowOff>
    </xdr:from>
    <xdr:to>
      <xdr:col>3</xdr:col>
      <xdr:colOff>91440</xdr:colOff>
      <xdr:row>26</xdr:row>
      <xdr:rowOff>127000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H="1">
          <a:off x="2489200" y="2532380"/>
          <a:ext cx="15240" cy="2687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7</xdr:row>
      <xdr:rowOff>25400</xdr:rowOff>
    </xdr:from>
    <xdr:to>
      <xdr:col>10</xdr:col>
      <xdr:colOff>622300</xdr:colOff>
      <xdr:row>7</xdr:row>
      <xdr:rowOff>25400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>
          <a:off x="8636000" y="1460500"/>
          <a:ext cx="469900" cy="0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26</xdr:row>
      <xdr:rowOff>199571</xdr:rowOff>
    </xdr:from>
    <xdr:to>
      <xdr:col>10</xdr:col>
      <xdr:colOff>584200</xdr:colOff>
      <xdr:row>27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V="1">
          <a:off x="8890000" y="5698671"/>
          <a:ext cx="177800" cy="3629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4</xdr:row>
      <xdr:rowOff>139700</xdr:rowOff>
    </xdr:from>
    <xdr:to>
      <xdr:col>9</xdr:col>
      <xdr:colOff>208643</xdr:colOff>
      <xdr:row>4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CxnSpPr/>
      </xdr:nvCxnSpPr>
      <xdr:spPr>
        <a:xfrm>
          <a:off x="471714" y="1117600"/>
          <a:ext cx="7395029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7</xdr:row>
      <xdr:rowOff>170180</xdr:rowOff>
    </xdr:from>
    <xdr:to>
      <xdr:col>10</xdr:col>
      <xdr:colOff>685800</xdr:colOff>
      <xdr:row>27</xdr:row>
      <xdr:rowOff>35560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CxnSpPr/>
      </xdr:nvCxnSpPr>
      <xdr:spPr>
        <a:xfrm flipH="1">
          <a:off x="9164320" y="1605280"/>
          <a:ext cx="5080" cy="39293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172720</xdr:colOff>
      <xdr:row>19</xdr:row>
      <xdr:rowOff>193040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4528820" y="3863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495300</xdr:colOff>
      <xdr:row>0</xdr:row>
      <xdr:rowOff>165100</xdr:rowOff>
    </xdr:from>
    <xdr:to>
      <xdr:col>2</xdr:col>
      <xdr:colOff>126717</xdr:colOff>
      <xdr:row>3</xdr:row>
      <xdr:rowOff>163971</xdr:rowOff>
    </xdr:to>
    <xdr:pic>
      <xdr:nvPicPr>
        <xdr:cNvPr id="13" name="Pictur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65100"/>
          <a:ext cx="1218917" cy="773571"/>
        </a:xfrm>
        <a:prstGeom prst="rect">
          <a:avLst/>
        </a:prstGeom>
      </xdr:spPr>
    </xdr:pic>
    <xdr:clientData/>
  </xdr:twoCellAnchor>
  <xdr:twoCellAnchor editAs="oneCell">
    <xdr:from>
      <xdr:col>9</xdr:col>
      <xdr:colOff>355602</xdr:colOff>
      <xdr:row>52</xdr:row>
      <xdr:rowOff>38099</xdr:rowOff>
    </xdr:from>
    <xdr:to>
      <xdr:col>10</xdr:col>
      <xdr:colOff>749019</xdr:colOff>
      <xdr:row>56</xdr:row>
      <xdr:rowOff>2045</xdr:rowOff>
    </xdr:to>
    <xdr:pic>
      <xdr:nvPicPr>
        <xdr:cNvPr id="14" name="Pictur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2" y="10210799"/>
          <a:ext cx="1218917" cy="773571"/>
        </a:xfrm>
        <a:prstGeom prst="rect">
          <a:avLst/>
        </a:prstGeom>
      </xdr:spPr>
    </xdr:pic>
    <xdr:clientData/>
  </xdr:twoCellAnchor>
  <xdr:twoCellAnchor>
    <xdr:from>
      <xdr:col>10</xdr:col>
      <xdr:colOff>266700</xdr:colOff>
      <xdr:row>5</xdr:row>
      <xdr:rowOff>63500</xdr:rowOff>
    </xdr:from>
    <xdr:to>
      <xdr:col>10</xdr:col>
      <xdr:colOff>266700</xdr:colOff>
      <xdr:row>6</xdr:row>
      <xdr:rowOff>101600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CxnSpPr/>
      </xdr:nvCxnSpPr>
      <xdr:spPr>
        <a:xfrm flipV="1">
          <a:off x="8750300" y="10922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520700</xdr:colOff>
      <xdr:row>5</xdr:row>
      <xdr:rowOff>63500</xdr:rowOff>
    </xdr:from>
    <xdr:to>
      <xdr:col>10</xdr:col>
      <xdr:colOff>520700</xdr:colOff>
      <xdr:row>6</xdr:row>
      <xdr:rowOff>101600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CxnSpPr/>
      </xdr:nvCxnSpPr>
      <xdr:spPr>
        <a:xfrm flipV="1">
          <a:off x="9004300" y="10922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127000</xdr:colOff>
      <xdr:row>5</xdr:row>
      <xdr:rowOff>25400</xdr:rowOff>
    </xdr:from>
    <xdr:to>
      <xdr:col>9</xdr:col>
      <xdr:colOff>127000</xdr:colOff>
      <xdr:row>6</xdr:row>
      <xdr:rowOff>63500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CxnSpPr/>
      </xdr:nvCxnSpPr>
      <xdr:spPr>
        <a:xfrm flipV="1">
          <a:off x="7785100" y="12573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558800</xdr:colOff>
      <xdr:row>5</xdr:row>
      <xdr:rowOff>25400</xdr:rowOff>
    </xdr:from>
    <xdr:to>
      <xdr:col>0</xdr:col>
      <xdr:colOff>558800</xdr:colOff>
      <xdr:row>6</xdr:row>
      <xdr:rowOff>63500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CxnSpPr/>
      </xdr:nvCxnSpPr>
      <xdr:spPr>
        <a:xfrm flipV="1">
          <a:off x="558800" y="8509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101600</xdr:colOff>
      <xdr:row>5</xdr:row>
      <xdr:rowOff>38100</xdr:rowOff>
    </xdr:from>
    <xdr:to>
      <xdr:col>10</xdr:col>
      <xdr:colOff>698500</xdr:colOff>
      <xdr:row>5</xdr:row>
      <xdr:rowOff>38100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CxnSpPr/>
      </xdr:nvCxnSpPr>
      <xdr:spPr>
        <a:xfrm>
          <a:off x="8585200" y="1066800"/>
          <a:ext cx="59690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763814</xdr:colOff>
      <xdr:row>67</xdr:row>
      <xdr:rowOff>76200</xdr:rowOff>
    </xdr:from>
    <xdr:to>
      <xdr:col>3</xdr:col>
      <xdr:colOff>571500</xdr:colOff>
      <xdr:row>67</xdr:row>
      <xdr:rowOff>76200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CxnSpPr/>
      </xdr:nvCxnSpPr>
      <xdr:spPr>
        <a:xfrm>
          <a:off x="1525814" y="12712700"/>
          <a:ext cx="145868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609600</xdr:colOff>
      <xdr:row>61</xdr:row>
      <xdr:rowOff>25400</xdr:rowOff>
    </xdr:from>
    <xdr:to>
      <xdr:col>9</xdr:col>
      <xdr:colOff>571500</xdr:colOff>
      <xdr:row>80</xdr:row>
      <xdr:rowOff>139700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40200" y="11417300"/>
          <a:ext cx="4089400" cy="4152900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63</xdr:row>
      <xdr:rowOff>50800</xdr:rowOff>
    </xdr:from>
    <xdr:to>
      <xdr:col>3</xdr:col>
      <xdr:colOff>622300</xdr:colOff>
      <xdr:row>63</xdr:row>
      <xdr:rowOff>50800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CxnSpPr/>
      </xdr:nvCxnSpPr>
      <xdr:spPr>
        <a:xfrm>
          <a:off x="1485900" y="11849100"/>
          <a:ext cx="1549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431800</xdr:colOff>
      <xdr:row>68</xdr:row>
      <xdr:rowOff>127000</xdr:rowOff>
    </xdr:from>
    <xdr:to>
      <xdr:col>1</xdr:col>
      <xdr:colOff>431800</xdr:colOff>
      <xdr:row>72</xdr:row>
      <xdr:rowOff>165100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CxnSpPr/>
      </xdr:nvCxnSpPr>
      <xdr:spPr>
        <a:xfrm flipV="1">
          <a:off x="1193800" y="12966700"/>
          <a:ext cx="0" cy="1003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508000</xdr:colOff>
      <xdr:row>74</xdr:row>
      <xdr:rowOff>101600</xdr:rowOff>
    </xdr:from>
    <xdr:to>
      <xdr:col>3</xdr:col>
      <xdr:colOff>850900</xdr:colOff>
      <xdr:row>74</xdr:row>
      <xdr:rowOff>114300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CxnSpPr/>
      </xdr:nvCxnSpPr>
      <xdr:spPr>
        <a:xfrm>
          <a:off x="1270000" y="14312900"/>
          <a:ext cx="19939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558800</xdr:colOff>
      <xdr:row>72</xdr:row>
      <xdr:rowOff>165100</xdr:rowOff>
    </xdr:from>
    <xdr:to>
      <xdr:col>3</xdr:col>
      <xdr:colOff>812800</xdr:colOff>
      <xdr:row>72</xdr:row>
      <xdr:rowOff>177800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CxnSpPr/>
      </xdr:nvCxnSpPr>
      <xdr:spPr>
        <a:xfrm>
          <a:off x="1320800" y="13970000"/>
          <a:ext cx="1905000" cy="127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546100</xdr:colOff>
      <xdr:row>81</xdr:row>
      <xdr:rowOff>50799</xdr:rowOff>
    </xdr:from>
    <xdr:to>
      <xdr:col>11</xdr:col>
      <xdr:colOff>114017</xdr:colOff>
      <xdr:row>85</xdr:row>
      <xdr:rowOff>11570</xdr:rowOff>
    </xdr:to>
    <xdr:pic>
      <xdr:nvPicPr>
        <xdr:cNvPr id="30" name="Picture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4200" y="16548099"/>
          <a:ext cx="1218917" cy="773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58</xdr:row>
      <xdr:rowOff>139700</xdr:rowOff>
    </xdr:from>
    <xdr:to>
      <xdr:col>1</xdr:col>
      <xdr:colOff>609317</xdr:colOff>
      <xdr:row>62</xdr:row>
      <xdr:rowOff>49671</xdr:rowOff>
    </xdr:to>
    <xdr:pic>
      <xdr:nvPicPr>
        <xdr:cNvPr id="31" name="Picture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734800"/>
          <a:ext cx="1218917" cy="7735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528320</xdr:colOff>
      <xdr:row>0</xdr:row>
      <xdr:rowOff>172720</xdr:rowOff>
    </xdr:from>
    <xdr:to>
      <xdr:col>2</xdr:col>
      <xdr:colOff>162277</xdr:colOff>
      <xdr:row>3</xdr:row>
      <xdr:rowOff>123331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20" y="172720"/>
          <a:ext cx="1221457" cy="776111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11</xdr:row>
      <xdr:rowOff>190500</xdr:rowOff>
    </xdr:from>
    <xdr:to>
      <xdr:col>8</xdr:col>
      <xdr:colOff>666750</xdr:colOff>
      <xdr:row>11</xdr:row>
      <xdr:rowOff>190500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>
          <a:off x="889000" y="2624667"/>
          <a:ext cx="661458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12701</xdr:colOff>
      <xdr:row>6</xdr:row>
      <xdr:rowOff>63500</xdr:rowOff>
    </xdr:from>
    <xdr:to>
      <xdr:col>9</xdr:col>
      <xdr:colOff>0</xdr:colOff>
      <xdr:row>25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774701" y="1492250"/>
          <a:ext cx="6887632" cy="3769783"/>
        </a:xfrm>
        <a:prstGeom prst="rect">
          <a:avLst/>
        </a:prstGeom>
        <a:noFill/>
        <a:ln w="127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148167</xdr:colOff>
      <xdr:row>9</xdr:row>
      <xdr:rowOff>63501</xdr:rowOff>
    </xdr:from>
    <xdr:to>
      <xdr:col>8</xdr:col>
      <xdr:colOff>645584</xdr:colOff>
      <xdr:row>24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 flipV="1">
          <a:off x="910167" y="2095501"/>
          <a:ext cx="6572250" cy="311149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</xdr:row>
      <xdr:rowOff>12700</xdr:rowOff>
    </xdr:from>
    <xdr:to>
      <xdr:col>10</xdr:col>
      <xdr:colOff>299719</xdr:colOff>
      <xdr:row>25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/>
        </xdr:cNvSpPr>
      </xdr:nvSpPr>
      <xdr:spPr bwMode="auto">
        <a:xfrm>
          <a:off x="8737600" y="1244600"/>
          <a:ext cx="45719" cy="4076701"/>
        </a:xfrm>
        <a:prstGeom prst="rect">
          <a:avLst/>
        </a:prstGeom>
        <a:noFill/>
        <a:ln w="12700" cmpd="sng">
          <a:solidFill>
            <a:schemeClr val="bg1">
              <a:lumMod val="85000"/>
            </a:schemeClr>
          </a:solidFill>
          <a:miter lim="800000"/>
          <a:headEnd/>
          <a:tailEnd/>
        </a:ln>
        <a:effectLst>
          <a:outerShdw blurRad="25400" dist="12700" dir="10800000" algn="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91440</xdr:colOff>
      <xdr:row>25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>
        <a:xfrm>
          <a:off x="8569960" y="1183640"/>
          <a:ext cx="5080" cy="42646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581465</xdr:colOff>
      <xdr:row>26</xdr:row>
      <xdr:rowOff>52949</xdr:rowOff>
    </xdr:from>
    <xdr:to>
      <xdr:col>9</xdr:col>
      <xdr:colOff>147125</xdr:colOff>
      <xdr:row>26</xdr:row>
      <xdr:rowOff>73269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CxnSpPr/>
      </xdr:nvCxnSpPr>
      <xdr:spPr>
        <a:xfrm flipV="1">
          <a:off x="581465" y="5601872"/>
          <a:ext cx="7254045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84667</xdr:colOff>
      <xdr:row>9</xdr:row>
      <xdr:rowOff>63500</xdr:rowOff>
    </xdr:from>
    <xdr:to>
      <xdr:col>3</xdr:col>
      <xdr:colOff>86783</xdr:colOff>
      <xdr:row>24</xdr:row>
      <xdr:rowOff>158750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CxnSpPr/>
      </xdr:nvCxnSpPr>
      <xdr:spPr>
        <a:xfrm>
          <a:off x="2497667" y="2095500"/>
          <a:ext cx="2116" cy="31115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459154</xdr:colOff>
      <xdr:row>5</xdr:row>
      <xdr:rowOff>107463</xdr:rowOff>
    </xdr:from>
    <xdr:to>
      <xdr:col>9</xdr:col>
      <xdr:colOff>351692</xdr:colOff>
      <xdr:row>5</xdr:row>
      <xdr:rowOff>117231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CxnSpPr/>
      </xdr:nvCxnSpPr>
      <xdr:spPr>
        <a:xfrm>
          <a:off x="459154" y="1348155"/>
          <a:ext cx="7580923" cy="9768"/>
        </a:xfrm>
        <a:prstGeom prst="line">
          <a:avLst/>
        </a:prstGeom>
        <a:ln w="241300" cmpd="sng">
          <a:solidFill>
            <a:schemeClr val="bg1"/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592668</xdr:colOff>
      <xdr:row>25</xdr:row>
      <xdr:rowOff>63500</xdr:rowOff>
    </xdr:from>
    <xdr:to>
      <xdr:col>9</xdr:col>
      <xdr:colOff>160868</xdr:colOff>
      <xdr:row>25</xdr:row>
      <xdr:rowOff>63500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CxnSpPr/>
      </xdr:nvCxnSpPr>
      <xdr:spPr>
        <a:xfrm>
          <a:off x="592668" y="5312833"/>
          <a:ext cx="7230533" cy="0"/>
        </a:xfrm>
        <a:prstGeom prst="line">
          <a:avLst/>
        </a:prstGeom>
        <a:ln w="13335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215900</xdr:colOff>
      <xdr:row>25</xdr:row>
      <xdr:rowOff>76200</xdr:rowOff>
    </xdr:from>
    <xdr:to>
      <xdr:col>10</xdr:col>
      <xdr:colOff>342900</xdr:colOff>
      <xdr:row>25</xdr:row>
      <xdr:rowOff>82550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CxnSpPr/>
      </xdr:nvCxnSpPr>
      <xdr:spPr>
        <a:xfrm>
          <a:off x="8699500" y="5372100"/>
          <a:ext cx="127000" cy="6350"/>
        </a:xfrm>
        <a:prstGeom prst="line">
          <a:avLst/>
        </a:prstGeom>
        <a:ln w="130175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420077</xdr:colOff>
      <xdr:row>4</xdr:row>
      <xdr:rowOff>87924</xdr:rowOff>
    </xdr:from>
    <xdr:to>
      <xdr:col>9</xdr:col>
      <xdr:colOff>381000</xdr:colOff>
      <xdr:row>4</xdr:row>
      <xdr:rowOff>97693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CxnSpPr/>
      </xdr:nvCxnSpPr>
      <xdr:spPr>
        <a:xfrm>
          <a:off x="420077" y="1123462"/>
          <a:ext cx="7649308" cy="976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703385</xdr:colOff>
      <xdr:row>25</xdr:row>
      <xdr:rowOff>156308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CxnSpPr/>
      </xdr:nvCxnSpPr>
      <xdr:spPr>
        <a:xfrm>
          <a:off x="9204569" y="1489026"/>
          <a:ext cx="17585" cy="401105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447040</xdr:colOff>
      <xdr:row>48</xdr:row>
      <xdr:rowOff>101600</xdr:rowOff>
    </xdr:from>
    <xdr:to>
      <xdr:col>11</xdr:col>
      <xdr:colOff>20037</xdr:colOff>
      <xdr:row>52</xdr:row>
      <xdr:rowOff>62371</xdr:rowOff>
    </xdr:to>
    <xdr:pic>
      <xdr:nvPicPr>
        <xdr:cNvPr id="16" name="Pictur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5140" y="10248900"/>
          <a:ext cx="1223997" cy="7735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190500</xdr:rowOff>
    </xdr:from>
    <xdr:to>
      <xdr:col>1</xdr:col>
      <xdr:colOff>137583</xdr:colOff>
      <xdr:row>24</xdr:row>
      <xdr:rowOff>190500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762000" y="2021417"/>
          <a:ext cx="137583" cy="3217333"/>
        </a:xfrm>
        <a:prstGeom prst="rect">
          <a:avLst/>
        </a:prstGeom>
        <a:solidFill>
          <a:schemeClr val="tx1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702734</xdr:colOff>
      <xdr:row>8</xdr:row>
      <xdr:rowOff>190499</xdr:rowOff>
    </xdr:from>
    <xdr:to>
      <xdr:col>9</xdr:col>
      <xdr:colOff>0</xdr:colOff>
      <xdr:row>25</xdr:row>
      <xdr:rowOff>10584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7539567" y="2021416"/>
          <a:ext cx="122766" cy="3238501"/>
        </a:xfrm>
        <a:prstGeom prst="rect">
          <a:avLst/>
        </a:prstGeom>
        <a:solidFill>
          <a:schemeClr val="tx1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133735</xdr:colOff>
      <xdr:row>4</xdr:row>
      <xdr:rowOff>149182</xdr:rowOff>
    </xdr:from>
    <xdr:to>
      <xdr:col>10</xdr:col>
      <xdr:colOff>531091</xdr:colOff>
      <xdr:row>6</xdr:row>
      <xdr:rowOff>12153</xdr:rowOff>
    </xdr:to>
    <xdr:grpSp>
      <xdr:nvGrpSpPr>
        <xdr:cNvPr id="57" name="Group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GrpSpPr/>
      </xdr:nvGrpSpPr>
      <xdr:grpSpPr>
        <a:xfrm>
          <a:off x="8632966" y="1167624"/>
          <a:ext cx="397356" cy="243971"/>
          <a:chOff x="9196917" y="1213187"/>
          <a:chExt cx="394925" cy="264024"/>
        </a:xfrm>
        <a:solidFill>
          <a:schemeClr val="bg1"/>
        </a:solidFill>
        <a:effectLst/>
      </xdr:grpSpPr>
      <xdr:sp macro="" textlink="">
        <xdr:nvSpPr>
          <xdr:cNvPr id="56" name="Oval 55">
            <a:extLst>
              <a:ext uri="{FF2B5EF4-FFF2-40B4-BE49-F238E27FC236}">
                <a16:creationId xmlns:a16="http://schemas.microsoft.com/office/drawing/2014/main" id="{00000000-0008-0000-0A00-000038000000}"/>
              </a:ext>
            </a:extLst>
          </xdr:cNvPr>
          <xdr:cNvSpPr/>
        </xdr:nvSpPr>
        <xdr:spPr>
          <a:xfrm>
            <a:off x="9323916" y="1213187"/>
            <a:ext cx="267926" cy="264024"/>
          </a:xfrm>
          <a:prstGeom prst="ellipse">
            <a:avLst/>
          </a:prstGeom>
          <a:grpFill/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A00-000037000000}"/>
              </a:ext>
            </a:extLst>
          </xdr:cNvPr>
          <xdr:cNvSpPr/>
        </xdr:nvSpPr>
        <xdr:spPr>
          <a:xfrm>
            <a:off x="9196917" y="1219868"/>
            <a:ext cx="257342" cy="252886"/>
          </a:xfrm>
          <a:prstGeom prst="rect">
            <a:avLst/>
          </a:prstGeom>
          <a:grpFill/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10</xdr:col>
      <xdr:colOff>141111</xdr:colOff>
      <xdr:row>4</xdr:row>
      <xdr:rowOff>155222</xdr:rowOff>
    </xdr:from>
    <xdr:to>
      <xdr:col>10</xdr:col>
      <xdr:colOff>515055</xdr:colOff>
      <xdr:row>5</xdr:row>
      <xdr:rowOff>204611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/>
      </xdr:nvSpPr>
      <xdr:spPr>
        <a:xfrm>
          <a:off x="8621889" y="1185333"/>
          <a:ext cx="373944" cy="254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136769</xdr:colOff>
      <xdr:row>51</xdr:row>
      <xdr:rowOff>129605</xdr:rowOff>
    </xdr:from>
    <xdr:to>
      <xdr:col>9</xdr:col>
      <xdr:colOff>40054</xdr:colOff>
      <xdr:row>68</xdr:row>
      <xdr:rowOff>87922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9538" y="10973451"/>
          <a:ext cx="5168901" cy="34459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528320</xdr:colOff>
      <xdr:row>0</xdr:row>
      <xdr:rowOff>172720</xdr:rowOff>
    </xdr:from>
    <xdr:to>
      <xdr:col>2</xdr:col>
      <xdr:colOff>162277</xdr:colOff>
      <xdr:row>3</xdr:row>
      <xdr:rowOff>123331</xdr:rowOff>
    </xdr:to>
    <xdr:pic>
      <xdr:nvPicPr>
        <xdr:cNvPr id="16" name="Pictur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20" y="172720"/>
          <a:ext cx="1218917" cy="77357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9</xdr:row>
      <xdr:rowOff>114300</xdr:rowOff>
    </xdr:from>
    <xdr:to>
      <xdr:col>8</xdr:col>
      <xdr:colOff>784860</xdr:colOff>
      <xdr:row>9</xdr:row>
      <xdr:rowOff>124460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1054100" y="2159000"/>
          <a:ext cx="87096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63500</xdr:rowOff>
    </xdr:from>
    <xdr:to>
      <xdr:col>9</xdr:col>
      <xdr:colOff>25400</xdr:colOff>
      <xdr:row>25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028700" y="1498600"/>
          <a:ext cx="9055100" cy="3810000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38100</xdr:colOff>
      <xdr:row>8</xdr:row>
      <xdr:rowOff>25400</xdr:rowOff>
    </xdr:from>
    <xdr:to>
      <xdr:col>9</xdr:col>
      <xdr:colOff>12700</xdr:colOff>
      <xdr:row>24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 flipV="1">
          <a:off x="800100" y="1409700"/>
          <a:ext cx="6578600" cy="3175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</xdr:row>
      <xdr:rowOff>12700</xdr:rowOff>
    </xdr:from>
    <xdr:to>
      <xdr:col>10</xdr:col>
      <xdr:colOff>299719</xdr:colOff>
      <xdr:row>25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8737600" y="1244600"/>
          <a:ext cx="45719" cy="40767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91440</xdr:colOff>
      <xdr:row>25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CxnSpPr/>
      </xdr:nvCxnSpPr>
      <xdr:spPr>
        <a:xfrm>
          <a:off x="8549640" y="927100"/>
          <a:ext cx="5080" cy="4051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640080</xdr:colOff>
      <xdr:row>26</xdr:row>
      <xdr:rowOff>43180</xdr:rowOff>
    </xdr:from>
    <xdr:to>
      <xdr:col>9</xdr:col>
      <xdr:colOff>205740</xdr:colOff>
      <xdr:row>26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CxnSpPr/>
      </xdr:nvCxnSpPr>
      <xdr:spPr>
        <a:xfrm flipV="1">
          <a:off x="640080" y="5542280"/>
          <a:ext cx="722376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8</xdr:row>
      <xdr:rowOff>25400</xdr:rowOff>
    </xdr:from>
    <xdr:to>
      <xdr:col>3</xdr:col>
      <xdr:colOff>88900</xdr:colOff>
      <xdr:row>24</xdr:row>
      <xdr:rowOff>127000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CxnSpPr/>
      </xdr:nvCxnSpPr>
      <xdr:spPr>
        <a:xfrm flipH="1">
          <a:off x="2489200" y="1409700"/>
          <a:ext cx="12700" cy="3149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</xdr:row>
      <xdr:rowOff>110067</xdr:rowOff>
    </xdr:from>
    <xdr:to>
      <xdr:col>10</xdr:col>
      <xdr:colOff>558800</xdr:colOff>
      <xdr:row>5</xdr:row>
      <xdr:rowOff>114300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CxnSpPr/>
      </xdr:nvCxnSpPr>
      <xdr:spPr>
        <a:xfrm flipV="1">
          <a:off x="11328400" y="1346200"/>
          <a:ext cx="406400" cy="4233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635000</xdr:colOff>
      <xdr:row>25</xdr:row>
      <xdr:rowOff>63500</xdr:rowOff>
    </xdr:from>
    <xdr:to>
      <xdr:col>9</xdr:col>
      <xdr:colOff>203200</xdr:colOff>
      <xdr:row>25</xdr:row>
      <xdr:rowOff>63500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CxnSpPr/>
      </xdr:nvCxnSpPr>
      <xdr:spPr>
        <a:xfrm>
          <a:off x="635000" y="5359400"/>
          <a:ext cx="7226300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215900</xdr:colOff>
      <xdr:row>25</xdr:row>
      <xdr:rowOff>76200</xdr:rowOff>
    </xdr:from>
    <xdr:to>
      <xdr:col>10</xdr:col>
      <xdr:colOff>342900</xdr:colOff>
      <xdr:row>25</xdr:row>
      <xdr:rowOff>82550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CxnSpPr/>
      </xdr:nvCxnSpPr>
      <xdr:spPr>
        <a:xfrm>
          <a:off x="8699500" y="5372100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6</xdr:row>
      <xdr:rowOff>43180</xdr:rowOff>
    </xdr:from>
    <xdr:to>
      <xdr:col>10</xdr:col>
      <xdr:colOff>685800</xdr:colOff>
      <xdr:row>25</xdr:row>
      <xdr:rowOff>111760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/>
      </xdr:nvCxnSpPr>
      <xdr:spPr>
        <a:xfrm flipH="1">
          <a:off x="9144000" y="1252220"/>
          <a:ext cx="5080" cy="39293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447040</xdr:colOff>
      <xdr:row>48</xdr:row>
      <xdr:rowOff>101600</xdr:rowOff>
    </xdr:from>
    <xdr:to>
      <xdr:col>11</xdr:col>
      <xdr:colOff>20037</xdr:colOff>
      <xdr:row>52</xdr:row>
      <xdr:rowOff>62371</xdr:rowOff>
    </xdr:to>
    <xdr:pic>
      <xdr:nvPicPr>
        <xdr:cNvPr id="1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7360" y="9591040"/>
          <a:ext cx="1218917" cy="773571"/>
        </a:xfrm>
        <a:prstGeom prst="rect">
          <a:avLst/>
        </a:prstGeom>
      </xdr:spPr>
    </xdr:pic>
    <xdr:clientData/>
  </xdr:twoCellAnchor>
  <xdr:twoCellAnchor editAs="absolute">
    <xdr:from>
      <xdr:col>3</xdr:col>
      <xdr:colOff>406400</xdr:colOff>
      <xdr:row>52</xdr:row>
      <xdr:rowOff>24920</xdr:rowOff>
    </xdr:from>
    <xdr:to>
      <xdr:col>7</xdr:col>
      <xdr:colOff>609600</xdr:colOff>
      <xdr:row>68</xdr:row>
      <xdr:rowOff>111780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GrpSpPr>
          <a:grpSpLocks noChangeAspect="1"/>
        </xdr:cNvGrpSpPr>
      </xdr:nvGrpSpPr>
      <xdr:grpSpPr>
        <a:xfrm>
          <a:off x="2819400" y="10985020"/>
          <a:ext cx="3797300" cy="3338060"/>
          <a:chOff x="5943600" y="3456801"/>
          <a:chExt cx="2828925" cy="2486799"/>
        </a:xfrm>
      </xdr:grpSpPr>
      <xdr:sp macro="" textlink="">
        <xdr:nvSpPr>
          <xdr:cNvPr id="50" name="Flowchart: Alternate Process 17">
            <a:extLst>
              <a:ext uri="{FF2B5EF4-FFF2-40B4-BE49-F238E27FC236}">
                <a16:creationId xmlns:a16="http://schemas.microsoft.com/office/drawing/2014/main" id="{00000000-0008-0000-0B00-000032000000}"/>
              </a:ext>
            </a:extLst>
          </xdr:cNvPr>
          <xdr:cNvSpPr/>
        </xdr:nvSpPr>
        <xdr:spPr>
          <a:xfrm>
            <a:off x="7086600" y="4343400"/>
            <a:ext cx="1066800" cy="990600"/>
          </a:xfrm>
          <a:prstGeom prst="flowChartAlternateProcess">
            <a:avLst/>
          </a:prstGeom>
          <a:ln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1" name="Trapezoid 50">
            <a:extLst>
              <a:ext uri="{FF2B5EF4-FFF2-40B4-BE49-F238E27FC236}">
                <a16:creationId xmlns:a16="http://schemas.microsoft.com/office/drawing/2014/main" id="{00000000-0008-0000-0B00-000033000000}"/>
              </a:ext>
            </a:extLst>
          </xdr:cNvPr>
          <xdr:cNvSpPr/>
        </xdr:nvSpPr>
        <xdr:spPr>
          <a:xfrm>
            <a:off x="7505700" y="4267200"/>
            <a:ext cx="228600" cy="76200"/>
          </a:xfrm>
          <a:prstGeom prst="trapezoid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B00-000034000000}"/>
              </a:ext>
            </a:extLst>
          </xdr:cNvPr>
          <xdr:cNvSpPr txBox="1"/>
        </xdr:nvSpPr>
        <xdr:spPr>
          <a:xfrm>
            <a:off x="7239000" y="3730823"/>
            <a:ext cx="6858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140 mm</a:t>
            </a:r>
          </a:p>
        </xdr:txBody>
      </xdr:sp>
      <xdr:sp macro="" textlink="">
        <xdr:nvSpPr>
          <xdr:cNvPr id="53" name="Trapezoid 52">
            <a:extLst>
              <a:ext uri="{FF2B5EF4-FFF2-40B4-BE49-F238E27FC236}">
                <a16:creationId xmlns:a16="http://schemas.microsoft.com/office/drawing/2014/main" id="{00000000-0008-0000-0B00-000035000000}"/>
              </a:ext>
            </a:extLst>
          </xdr:cNvPr>
          <xdr:cNvSpPr/>
        </xdr:nvSpPr>
        <xdr:spPr>
          <a:xfrm rot="-5400000">
            <a:off x="6934200" y="4800600"/>
            <a:ext cx="228600" cy="76200"/>
          </a:xfrm>
          <a:prstGeom prst="trapezoid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4" name="Oval 53">
            <a:extLst>
              <a:ext uri="{FF2B5EF4-FFF2-40B4-BE49-F238E27FC236}">
                <a16:creationId xmlns:a16="http://schemas.microsoft.com/office/drawing/2014/main" id="{00000000-0008-0000-0B00-000036000000}"/>
              </a:ext>
            </a:extLst>
          </xdr:cNvPr>
          <xdr:cNvSpPr/>
        </xdr:nvSpPr>
        <xdr:spPr>
          <a:xfrm>
            <a:off x="7086600" y="5562600"/>
            <a:ext cx="152400" cy="152400"/>
          </a:xfrm>
          <a:prstGeom prst="ellips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cxnSp macro="">
        <xdr:nvCxnSpPr>
          <xdr:cNvPr id="55" name="Straight Connector 54">
            <a:extLst>
              <a:ext uri="{FF2B5EF4-FFF2-40B4-BE49-F238E27FC236}">
                <a16:creationId xmlns:a16="http://schemas.microsoft.com/office/drawing/2014/main" id="{00000000-0008-0000-0B00-000037000000}"/>
              </a:ext>
            </a:extLst>
          </xdr:cNvPr>
          <xdr:cNvCxnSpPr/>
        </xdr:nvCxnSpPr>
        <xdr:spPr>
          <a:xfrm flipV="1">
            <a:off x="7162800" y="5257800"/>
            <a:ext cx="0" cy="304800"/>
          </a:xfrm>
          <a:prstGeom prst="line">
            <a:avLst/>
          </a:prstGeom>
          <a:ln w="222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0B00-000038000000}"/>
              </a:ext>
            </a:extLst>
          </xdr:cNvPr>
          <xdr:cNvSpPr txBox="1"/>
        </xdr:nvSpPr>
        <xdr:spPr>
          <a:xfrm>
            <a:off x="8162925" y="4676001"/>
            <a:ext cx="6096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front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00000000-0008-0000-0B00-000039000000}"/>
              </a:ext>
            </a:extLst>
          </xdr:cNvPr>
          <xdr:cNvSpPr txBox="1"/>
        </xdr:nvSpPr>
        <xdr:spPr>
          <a:xfrm>
            <a:off x="5943600" y="4656951"/>
            <a:ext cx="6096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wall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0B00-00003A000000}"/>
              </a:ext>
            </a:extLst>
          </xdr:cNvPr>
          <xdr:cNvSpPr txBox="1"/>
        </xdr:nvSpPr>
        <xdr:spPr>
          <a:xfrm>
            <a:off x="7267575" y="3456801"/>
            <a:ext cx="6858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ceiling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00000000-0008-0000-0B00-00003B000000}"/>
              </a:ext>
            </a:extLst>
          </xdr:cNvPr>
          <xdr:cNvSpPr txBox="1"/>
        </xdr:nvSpPr>
        <xdr:spPr>
          <a:xfrm>
            <a:off x="6962775" y="3959423"/>
            <a:ext cx="6858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72 mm</a:t>
            </a:r>
          </a:p>
        </xdr:txBody>
      </xdr:sp>
      <xdr:cxnSp macro="">
        <xdr:nvCxnSpPr>
          <xdr:cNvPr id="61" name="Straight Connector 60">
            <a:extLst>
              <a:ext uri="{FF2B5EF4-FFF2-40B4-BE49-F238E27FC236}">
                <a16:creationId xmlns:a16="http://schemas.microsoft.com/office/drawing/2014/main" id="{00000000-0008-0000-0B00-00003D000000}"/>
              </a:ext>
            </a:extLst>
          </xdr:cNvPr>
          <xdr:cNvCxnSpPr/>
        </xdr:nvCxnSpPr>
        <xdr:spPr>
          <a:xfrm flipV="1">
            <a:off x="7010400" y="3886200"/>
            <a:ext cx="0" cy="5334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" name="Straight Connector 61">
            <a:extLst>
              <a:ext uri="{FF2B5EF4-FFF2-40B4-BE49-F238E27FC236}">
                <a16:creationId xmlns:a16="http://schemas.microsoft.com/office/drawing/2014/main" id="{00000000-0008-0000-0B00-00003E000000}"/>
              </a:ext>
            </a:extLst>
          </xdr:cNvPr>
          <xdr:cNvCxnSpPr/>
        </xdr:nvCxnSpPr>
        <xdr:spPr>
          <a:xfrm flipV="1">
            <a:off x="7620000" y="4029075"/>
            <a:ext cx="0" cy="150912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Straight Connector 62">
            <a:extLst>
              <a:ext uri="{FF2B5EF4-FFF2-40B4-BE49-F238E27FC236}">
                <a16:creationId xmlns:a16="http://schemas.microsoft.com/office/drawing/2014/main" id="{00000000-0008-0000-0B00-00003F000000}"/>
              </a:ext>
            </a:extLst>
          </xdr:cNvPr>
          <xdr:cNvCxnSpPr/>
        </xdr:nvCxnSpPr>
        <xdr:spPr>
          <a:xfrm flipV="1">
            <a:off x="8153400" y="3886200"/>
            <a:ext cx="0" cy="4572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4" name="Straight Arrow Connector 63">
            <a:extLst>
              <a:ext uri="{FF2B5EF4-FFF2-40B4-BE49-F238E27FC236}">
                <a16:creationId xmlns:a16="http://schemas.microsoft.com/office/drawing/2014/main" id="{00000000-0008-0000-0B00-000040000000}"/>
              </a:ext>
            </a:extLst>
          </xdr:cNvPr>
          <xdr:cNvCxnSpPr/>
        </xdr:nvCxnSpPr>
        <xdr:spPr>
          <a:xfrm>
            <a:off x="7772400" y="3886200"/>
            <a:ext cx="3810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" name="Straight Arrow Connector 64">
            <a:extLst>
              <a:ext uri="{FF2B5EF4-FFF2-40B4-BE49-F238E27FC236}">
                <a16:creationId xmlns:a16="http://schemas.microsoft.com/office/drawing/2014/main" id="{00000000-0008-0000-0B00-000041000000}"/>
              </a:ext>
            </a:extLst>
          </xdr:cNvPr>
          <xdr:cNvCxnSpPr/>
        </xdr:nvCxnSpPr>
        <xdr:spPr>
          <a:xfrm flipV="1">
            <a:off x="7439022" y="4113312"/>
            <a:ext cx="180975" cy="1488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Arrow Connector 65">
            <a:extLst>
              <a:ext uri="{FF2B5EF4-FFF2-40B4-BE49-F238E27FC236}">
                <a16:creationId xmlns:a16="http://schemas.microsoft.com/office/drawing/2014/main" id="{00000000-0008-0000-0B00-000042000000}"/>
              </a:ext>
            </a:extLst>
          </xdr:cNvPr>
          <xdr:cNvCxnSpPr/>
        </xdr:nvCxnSpPr>
        <xdr:spPr>
          <a:xfrm flipH="1">
            <a:off x="7010400" y="4114800"/>
            <a:ext cx="1524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Straight Arrow Connector 66">
            <a:extLst>
              <a:ext uri="{FF2B5EF4-FFF2-40B4-BE49-F238E27FC236}">
                <a16:creationId xmlns:a16="http://schemas.microsoft.com/office/drawing/2014/main" id="{00000000-0008-0000-0B00-000043000000}"/>
              </a:ext>
            </a:extLst>
          </xdr:cNvPr>
          <xdr:cNvCxnSpPr/>
        </xdr:nvCxnSpPr>
        <xdr:spPr>
          <a:xfrm flipH="1">
            <a:off x="7010400" y="3886200"/>
            <a:ext cx="3810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" name="Straight Connector 67">
            <a:extLst>
              <a:ext uri="{FF2B5EF4-FFF2-40B4-BE49-F238E27FC236}">
                <a16:creationId xmlns:a16="http://schemas.microsoft.com/office/drawing/2014/main" id="{00000000-0008-0000-0B00-000044000000}"/>
              </a:ext>
            </a:extLst>
          </xdr:cNvPr>
          <xdr:cNvCxnSpPr/>
        </xdr:nvCxnSpPr>
        <xdr:spPr>
          <a:xfrm>
            <a:off x="6629400" y="4267200"/>
            <a:ext cx="533400" cy="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Straight Connector 68">
            <a:extLst>
              <a:ext uri="{FF2B5EF4-FFF2-40B4-BE49-F238E27FC236}">
                <a16:creationId xmlns:a16="http://schemas.microsoft.com/office/drawing/2014/main" id="{00000000-0008-0000-0B00-000045000000}"/>
              </a:ext>
            </a:extLst>
          </xdr:cNvPr>
          <xdr:cNvCxnSpPr/>
        </xdr:nvCxnSpPr>
        <xdr:spPr>
          <a:xfrm>
            <a:off x="6629400" y="5334000"/>
            <a:ext cx="533400" cy="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B00-000046000000}"/>
              </a:ext>
            </a:extLst>
          </xdr:cNvPr>
          <xdr:cNvSpPr/>
        </xdr:nvSpPr>
        <xdr:spPr>
          <a:xfrm>
            <a:off x="7315200" y="5334000"/>
            <a:ext cx="152400" cy="762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00000000-0008-0000-0B00-000047000000}"/>
              </a:ext>
            </a:extLst>
          </xdr:cNvPr>
          <xdr:cNvSpPr txBox="1"/>
        </xdr:nvSpPr>
        <xdr:spPr>
          <a:xfrm>
            <a:off x="6400800" y="4643437"/>
            <a:ext cx="4572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147 mm</a:t>
            </a:r>
          </a:p>
        </xdr:txBody>
      </xdr:sp>
      <xdr:cxnSp macro="">
        <xdr:nvCxnSpPr>
          <xdr:cNvPr id="72" name="Straight Arrow Connector 71">
            <a:extLst>
              <a:ext uri="{FF2B5EF4-FFF2-40B4-BE49-F238E27FC236}">
                <a16:creationId xmlns:a16="http://schemas.microsoft.com/office/drawing/2014/main" id="{00000000-0008-0000-0B00-000048000000}"/>
              </a:ext>
            </a:extLst>
          </xdr:cNvPr>
          <xdr:cNvCxnSpPr/>
        </xdr:nvCxnSpPr>
        <xdr:spPr>
          <a:xfrm flipV="1">
            <a:off x="6629400" y="4267200"/>
            <a:ext cx="0" cy="38100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Straight Arrow Connector 72">
            <a:extLst>
              <a:ext uri="{FF2B5EF4-FFF2-40B4-BE49-F238E27FC236}">
                <a16:creationId xmlns:a16="http://schemas.microsoft.com/office/drawing/2014/main" id="{00000000-0008-0000-0B00-000049000000}"/>
              </a:ext>
            </a:extLst>
          </xdr:cNvPr>
          <xdr:cNvCxnSpPr/>
        </xdr:nvCxnSpPr>
        <xdr:spPr>
          <a:xfrm>
            <a:off x="6629400" y="4953000"/>
            <a:ext cx="0" cy="38100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00000000-0008-0000-0B00-00004A000000}"/>
              </a:ext>
            </a:extLst>
          </xdr:cNvPr>
          <xdr:cNvCxnSpPr/>
        </xdr:nvCxnSpPr>
        <xdr:spPr>
          <a:xfrm flipV="1">
            <a:off x="7010400" y="5410200"/>
            <a:ext cx="0" cy="5334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Straight Connector 74">
            <a:extLst>
              <a:ext uri="{FF2B5EF4-FFF2-40B4-BE49-F238E27FC236}">
                <a16:creationId xmlns:a16="http://schemas.microsoft.com/office/drawing/2014/main" id="{00000000-0008-0000-0B00-00004B000000}"/>
              </a:ext>
            </a:extLst>
          </xdr:cNvPr>
          <xdr:cNvCxnSpPr/>
        </xdr:nvCxnSpPr>
        <xdr:spPr>
          <a:xfrm flipV="1">
            <a:off x="7086600" y="5791200"/>
            <a:ext cx="0" cy="150912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Arrow Connector 75">
            <a:extLst>
              <a:ext uri="{FF2B5EF4-FFF2-40B4-BE49-F238E27FC236}">
                <a16:creationId xmlns:a16="http://schemas.microsoft.com/office/drawing/2014/main" id="{00000000-0008-0000-0B00-00004C000000}"/>
              </a:ext>
            </a:extLst>
          </xdr:cNvPr>
          <xdr:cNvCxnSpPr/>
        </xdr:nvCxnSpPr>
        <xdr:spPr>
          <a:xfrm flipV="1">
            <a:off x="6829425" y="5867400"/>
            <a:ext cx="180975" cy="1488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Straight Arrow Connector 76">
            <a:extLst>
              <a:ext uri="{FF2B5EF4-FFF2-40B4-BE49-F238E27FC236}">
                <a16:creationId xmlns:a16="http://schemas.microsoft.com/office/drawing/2014/main" id="{00000000-0008-0000-0B00-00004D000000}"/>
              </a:ext>
            </a:extLst>
          </xdr:cNvPr>
          <xdr:cNvCxnSpPr/>
        </xdr:nvCxnSpPr>
        <xdr:spPr>
          <a:xfrm flipH="1">
            <a:off x="7086600" y="5867400"/>
            <a:ext cx="1524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00000000-0008-0000-0B00-00004E000000}"/>
              </a:ext>
            </a:extLst>
          </xdr:cNvPr>
          <xdr:cNvSpPr txBox="1"/>
        </xdr:nvSpPr>
        <xdr:spPr>
          <a:xfrm>
            <a:off x="7239000" y="5712023"/>
            <a:ext cx="7620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11 mm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528320</xdr:colOff>
      <xdr:row>0</xdr:row>
      <xdr:rowOff>172720</xdr:rowOff>
    </xdr:from>
    <xdr:to>
      <xdr:col>2</xdr:col>
      <xdr:colOff>162277</xdr:colOff>
      <xdr:row>3</xdr:row>
      <xdr:rowOff>123331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20" y="172720"/>
          <a:ext cx="1221457" cy="776111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21</xdr:row>
      <xdr:rowOff>165100</xdr:rowOff>
    </xdr:from>
    <xdr:to>
      <xdr:col>8</xdr:col>
      <xdr:colOff>797560</xdr:colOff>
      <xdr:row>21</xdr:row>
      <xdr:rowOff>175260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>
          <a:off x="812800" y="4699000"/>
          <a:ext cx="68173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63500</xdr:rowOff>
    </xdr:from>
    <xdr:to>
      <xdr:col>9</xdr:col>
      <xdr:colOff>25400</xdr:colOff>
      <xdr:row>25</xdr:row>
      <xdr:rowOff>12700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774700" y="1498600"/>
          <a:ext cx="6908800" cy="3822700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25400</xdr:colOff>
      <xdr:row>8</xdr:row>
      <xdr:rowOff>0</xdr:rowOff>
    </xdr:from>
    <xdr:to>
      <xdr:col>9</xdr:col>
      <xdr:colOff>0</xdr:colOff>
      <xdr:row>24</xdr:row>
      <xdr:rowOff>127000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V="1">
          <a:off x="787400" y="1866900"/>
          <a:ext cx="6870700" cy="3403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5</xdr:row>
      <xdr:rowOff>25400</xdr:rowOff>
    </xdr:from>
    <xdr:to>
      <xdr:col>10</xdr:col>
      <xdr:colOff>452119</xdr:colOff>
      <xdr:row>25</xdr:row>
      <xdr:rowOff>38101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8890000" y="1257300"/>
          <a:ext cx="45719" cy="41275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10</xdr:col>
      <xdr:colOff>22860</xdr:colOff>
      <xdr:row>4</xdr:row>
      <xdr:rowOff>167640</xdr:rowOff>
    </xdr:from>
    <xdr:to>
      <xdr:col>10</xdr:col>
      <xdr:colOff>27940</xdr:colOff>
      <xdr:row>25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>
          <a:off x="8506460" y="1196340"/>
          <a:ext cx="5080" cy="43154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640080</xdr:colOff>
      <xdr:row>26</xdr:row>
      <xdr:rowOff>43180</xdr:rowOff>
    </xdr:from>
    <xdr:to>
      <xdr:col>9</xdr:col>
      <xdr:colOff>205740</xdr:colOff>
      <xdr:row>26</xdr:row>
      <xdr:rowOff>63500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640080" y="5542280"/>
          <a:ext cx="722376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723900</xdr:colOff>
      <xdr:row>8</xdr:row>
      <xdr:rowOff>50800</xdr:rowOff>
    </xdr:from>
    <xdr:to>
      <xdr:col>2</xdr:col>
      <xdr:colOff>736600</xdr:colOff>
      <xdr:row>24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 flipH="1">
          <a:off x="2311400" y="1917700"/>
          <a:ext cx="12700" cy="3378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88900</xdr:colOff>
      <xdr:row>5</xdr:row>
      <xdr:rowOff>76200</xdr:rowOff>
    </xdr:from>
    <xdr:to>
      <xdr:col>10</xdr:col>
      <xdr:colOff>774700</xdr:colOff>
      <xdr:row>5</xdr:row>
      <xdr:rowOff>76201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CxnSpPr/>
      </xdr:nvCxnSpPr>
      <xdr:spPr>
        <a:xfrm flipV="1">
          <a:off x="8572500" y="1308100"/>
          <a:ext cx="685800" cy="1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635000</xdr:colOff>
      <xdr:row>25</xdr:row>
      <xdr:rowOff>63500</xdr:rowOff>
    </xdr:from>
    <xdr:to>
      <xdr:col>9</xdr:col>
      <xdr:colOff>203200</xdr:colOff>
      <xdr:row>25</xdr:row>
      <xdr:rowOff>63500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CxnSpPr/>
      </xdr:nvCxnSpPr>
      <xdr:spPr>
        <a:xfrm>
          <a:off x="635000" y="5410200"/>
          <a:ext cx="7226300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368300</xdr:colOff>
      <xdr:row>25</xdr:row>
      <xdr:rowOff>76200</xdr:rowOff>
    </xdr:from>
    <xdr:to>
      <xdr:col>10</xdr:col>
      <xdr:colOff>495300</xdr:colOff>
      <xdr:row>25</xdr:row>
      <xdr:rowOff>82550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CxnSpPr/>
      </xdr:nvCxnSpPr>
      <xdr:spPr>
        <a:xfrm>
          <a:off x="8851900" y="5422900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6</xdr:row>
      <xdr:rowOff>43180</xdr:rowOff>
    </xdr:from>
    <xdr:to>
      <xdr:col>10</xdr:col>
      <xdr:colOff>685800</xdr:colOff>
      <xdr:row>25</xdr:row>
      <xdr:rowOff>111760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CxnSpPr/>
      </xdr:nvCxnSpPr>
      <xdr:spPr>
        <a:xfrm flipH="1">
          <a:off x="9164320" y="1490980"/>
          <a:ext cx="5080" cy="39674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383540</xdr:colOff>
      <xdr:row>57</xdr:row>
      <xdr:rowOff>165100</xdr:rowOff>
    </xdr:from>
    <xdr:to>
      <xdr:col>11</xdr:col>
      <xdr:colOff>782037</xdr:colOff>
      <xdr:row>61</xdr:row>
      <xdr:rowOff>125871</xdr:rowOff>
    </xdr:to>
    <xdr:pic>
      <xdr:nvPicPr>
        <xdr:cNvPr id="1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7140" y="12192000"/>
          <a:ext cx="1223997" cy="773571"/>
        </a:xfrm>
        <a:prstGeom prst="rect">
          <a:avLst/>
        </a:prstGeom>
      </xdr:spPr>
    </xdr:pic>
    <xdr:clientData/>
  </xdr:twoCellAnchor>
  <xdr:twoCellAnchor>
    <xdr:from>
      <xdr:col>7</xdr:col>
      <xdr:colOff>660400</xdr:colOff>
      <xdr:row>12</xdr:row>
      <xdr:rowOff>25400</xdr:rowOff>
    </xdr:from>
    <xdr:to>
      <xdr:col>7</xdr:col>
      <xdr:colOff>673100</xdr:colOff>
      <xdr:row>24</xdr:row>
      <xdr:rowOff>177800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CxnSpPr/>
      </xdr:nvCxnSpPr>
      <xdr:spPr>
        <a:xfrm>
          <a:off x="6667500" y="2717800"/>
          <a:ext cx="12700" cy="2603500"/>
        </a:xfrm>
        <a:prstGeom prst="straightConnector1">
          <a:avLst/>
        </a:prstGeom>
        <a:ln>
          <a:solidFill>
            <a:schemeClr val="bg2">
              <a:lumMod val="50000"/>
            </a:schemeClr>
          </a:solidFill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</xdr:colOff>
      <xdr:row>47</xdr:row>
      <xdr:rowOff>12700</xdr:rowOff>
    </xdr:from>
    <xdr:to>
      <xdr:col>8</xdr:col>
      <xdr:colOff>660400</xdr:colOff>
      <xdr:row>60</xdr:row>
      <xdr:rowOff>88900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0007600"/>
          <a:ext cx="3060700" cy="2717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748748</xdr:colOff>
      <xdr:row>48</xdr:row>
      <xdr:rowOff>38100</xdr:rowOff>
    </xdr:from>
    <xdr:to>
      <xdr:col>11</xdr:col>
      <xdr:colOff>533400</xdr:colOff>
      <xdr:row>56</xdr:row>
      <xdr:rowOff>63500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81348" y="10236200"/>
          <a:ext cx="2261152" cy="1651000"/>
        </a:xfrm>
        <a:prstGeom prst="rect">
          <a:avLst/>
        </a:prstGeom>
      </xdr:spPr>
    </xdr:pic>
    <xdr:clientData/>
  </xdr:twoCellAnchor>
  <xdr:oneCellAnchor>
    <xdr:from>
      <xdr:col>4</xdr:col>
      <xdr:colOff>120038</xdr:colOff>
      <xdr:row>6</xdr:row>
      <xdr:rowOff>1085</xdr:rowOff>
    </xdr:from>
    <xdr:ext cx="1334724" cy="40543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3650638" y="1436185"/>
          <a:ext cx="13347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Black Drop</a:t>
          </a:r>
        </a:p>
      </xdr:txBody>
    </xdr:sp>
    <xdr:clientData/>
  </xdr:oneCellAnchor>
  <xdr:oneCellAnchor>
    <xdr:from>
      <xdr:col>4</xdr:col>
      <xdr:colOff>381544</xdr:colOff>
      <xdr:row>9</xdr:row>
      <xdr:rowOff>191585</xdr:rowOff>
    </xdr:from>
    <xdr:ext cx="76091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3912144" y="2236285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528320</xdr:colOff>
      <xdr:row>0</xdr:row>
      <xdr:rowOff>172720</xdr:rowOff>
    </xdr:from>
    <xdr:to>
      <xdr:col>2</xdr:col>
      <xdr:colOff>162277</xdr:colOff>
      <xdr:row>3</xdr:row>
      <xdr:rowOff>123331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20" y="172720"/>
          <a:ext cx="1221457" cy="776111"/>
        </a:xfrm>
        <a:prstGeom prst="rect">
          <a:avLst/>
        </a:prstGeom>
      </xdr:spPr>
    </xdr:pic>
    <xdr:clientData/>
  </xdr:twoCellAnchor>
  <xdr:twoCellAnchor>
    <xdr:from>
      <xdr:col>1</xdr:col>
      <xdr:colOff>29634</xdr:colOff>
      <xdr:row>20</xdr:row>
      <xdr:rowOff>16933</xdr:rowOff>
    </xdr:from>
    <xdr:to>
      <xdr:col>8</xdr:col>
      <xdr:colOff>776394</xdr:colOff>
      <xdr:row>20</xdr:row>
      <xdr:rowOff>27093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91634" y="4260850"/>
          <a:ext cx="6821593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63501</xdr:rowOff>
    </xdr:from>
    <xdr:to>
      <xdr:col>9</xdr:col>
      <xdr:colOff>25400</xdr:colOff>
      <xdr:row>22</xdr:row>
      <xdr:rowOff>21167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74700" y="1492251"/>
          <a:ext cx="6913033" cy="3174999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52917</xdr:colOff>
      <xdr:row>8</xdr:row>
      <xdr:rowOff>1</xdr:rowOff>
    </xdr:from>
    <xdr:to>
      <xdr:col>9</xdr:col>
      <xdr:colOff>0</xdr:colOff>
      <xdr:row>21</xdr:row>
      <xdr:rowOff>169333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 flipV="1">
          <a:off x="814917" y="1830918"/>
          <a:ext cx="6847416" cy="278341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5</xdr:row>
      <xdr:rowOff>25401</xdr:rowOff>
    </xdr:from>
    <xdr:to>
      <xdr:col>10</xdr:col>
      <xdr:colOff>452119</xdr:colOff>
      <xdr:row>22</xdr:row>
      <xdr:rowOff>95251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Arrowheads="1"/>
        </xdr:cNvSpPr>
      </xdr:nvSpPr>
      <xdr:spPr bwMode="auto">
        <a:xfrm>
          <a:off x="8894233" y="1253068"/>
          <a:ext cx="45719" cy="348826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10</xdr:col>
      <xdr:colOff>21167</xdr:colOff>
      <xdr:row>4</xdr:row>
      <xdr:rowOff>167640</xdr:rowOff>
    </xdr:from>
    <xdr:to>
      <xdr:col>10</xdr:col>
      <xdr:colOff>22860</xdr:colOff>
      <xdr:row>23</xdr:row>
      <xdr:rowOff>31750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CxnSpPr/>
      </xdr:nvCxnSpPr>
      <xdr:spPr>
        <a:xfrm flipH="1">
          <a:off x="8509000" y="1194223"/>
          <a:ext cx="1693" cy="368469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604098</xdr:colOff>
      <xdr:row>23</xdr:row>
      <xdr:rowOff>32596</xdr:rowOff>
    </xdr:from>
    <xdr:to>
      <xdr:col>9</xdr:col>
      <xdr:colOff>169758</xdr:colOff>
      <xdr:row>23</xdr:row>
      <xdr:rowOff>52916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CxnSpPr/>
      </xdr:nvCxnSpPr>
      <xdr:spPr>
        <a:xfrm flipV="1">
          <a:off x="604098" y="4879763"/>
          <a:ext cx="7227993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793750</xdr:colOff>
      <xdr:row>8</xdr:row>
      <xdr:rowOff>40217</xdr:rowOff>
    </xdr:from>
    <xdr:to>
      <xdr:col>2</xdr:col>
      <xdr:colOff>821268</xdr:colOff>
      <xdr:row>21</xdr:row>
      <xdr:rowOff>190500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CxnSpPr/>
      </xdr:nvCxnSpPr>
      <xdr:spPr>
        <a:xfrm flipH="1">
          <a:off x="2381250" y="1871134"/>
          <a:ext cx="27518" cy="276436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88900</xdr:colOff>
      <xdr:row>5</xdr:row>
      <xdr:rowOff>76200</xdr:rowOff>
    </xdr:from>
    <xdr:to>
      <xdr:col>10</xdr:col>
      <xdr:colOff>774700</xdr:colOff>
      <xdr:row>5</xdr:row>
      <xdr:rowOff>76201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CxnSpPr/>
      </xdr:nvCxnSpPr>
      <xdr:spPr>
        <a:xfrm flipV="1">
          <a:off x="8572500" y="1308100"/>
          <a:ext cx="685800" cy="1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624417</xdr:colOff>
      <xdr:row>22</xdr:row>
      <xdr:rowOff>52917</xdr:rowOff>
    </xdr:from>
    <xdr:to>
      <xdr:col>9</xdr:col>
      <xdr:colOff>192617</xdr:colOff>
      <xdr:row>22</xdr:row>
      <xdr:rowOff>52917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CxnSpPr/>
      </xdr:nvCxnSpPr>
      <xdr:spPr>
        <a:xfrm>
          <a:off x="624417" y="4699000"/>
          <a:ext cx="7230533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357716</xdr:colOff>
      <xdr:row>22</xdr:row>
      <xdr:rowOff>118534</xdr:rowOff>
    </xdr:from>
    <xdr:to>
      <xdr:col>10</xdr:col>
      <xdr:colOff>484716</xdr:colOff>
      <xdr:row>22</xdr:row>
      <xdr:rowOff>124884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CxnSpPr/>
      </xdr:nvCxnSpPr>
      <xdr:spPr>
        <a:xfrm>
          <a:off x="8845549" y="4764617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687917</xdr:colOff>
      <xdr:row>22</xdr:row>
      <xdr:rowOff>190500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CxnSpPr/>
      </xdr:nvCxnSpPr>
      <xdr:spPr>
        <a:xfrm>
          <a:off x="9173633" y="1471930"/>
          <a:ext cx="2117" cy="33646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383540</xdr:colOff>
      <xdr:row>57</xdr:row>
      <xdr:rowOff>165100</xdr:rowOff>
    </xdr:from>
    <xdr:to>
      <xdr:col>12</xdr:col>
      <xdr:colOff>20037</xdr:colOff>
      <xdr:row>61</xdr:row>
      <xdr:rowOff>125871</xdr:rowOff>
    </xdr:to>
    <xdr:pic>
      <xdr:nvPicPr>
        <xdr:cNvPr id="16" name="Pictur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7140" y="12192000"/>
          <a:ext cx="1223997" cy="773571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</xdr:row>
      <xdr:rowOff>16933</xdr:rowOff>
    </xdr:from>
    <xdr:to>
      <xdr:col>7</xdr:col>
      <xdr:colOff>812800</xdr:colOff>
      <xdr:row>13</xdr:row>
      <xdr:rowOff>16933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CxnSpPr/>
      </xdr:nvCxnSpPr>
      <xdr:spPr>
        <a:xfrm>
          <a:off x="1600200" y="2853266"/>
          <a:ext cx="5223933" cy="0"/>
        </a:xfrm>
        <a:prstGeom prst="straightConnector1">
          <a:avLst/>
        </a:prstGeom>
        <a:ln>
          <a:solidFill>
            <a:schemeClr val="bg2">
              <a:lumMod val="50000"/>
            </a:schemeClr>
          </a:solidFill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</xdr:colOff>
      <xdr:row>47</xdr:row>
      <xdr:rowOff>12700</xdr:rowOff>
    </xdr:from>
    <xdr:to>
      <xdr:col>8</xdr:col>
      <xdr:colOff>660400</xdr:colOff>
      <xdr:row>60</xdr:row>
      <xdr:rowOff>88901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0007600"/>
          <a:ext cx="3060700" cy="2717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748748</xdr:colOff>
      <xdr:row>48</xdr:row>
      <xdr:rowOff>38100</xdr:rowOff>
    </xdr:from>
    <xdr:to>
      <xdr:col>11</xdr:col>
      <xdr:colOff>596900</xdr:colOff>
      <xdr:row>56</xdr:row>
      <xdr:rowOff>63499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81348" y="10236200"/>
          <a:ext cx="2261152" cy="1651000"/>
        </a:xfrm>
        <a:prstGeom prst="rect">
          <a:avLst/>
        </a:prstGeom>
      </xdr:spPr>
    </xdr:pic>
    <xdr:clientData/>
  </xdr:twoCellAnchor>
  <xdr:oneCellAnchor>
    <xdr:from>
      <xdr:col>4</xdr:col>
      <xdr:colOff>21167</xdr:colOff>
      <xdr:row>6</xdr:row>
      <xdr:rowOff>10584</xdr:rowOff>
    </xdr:from>
    <xdr:ext cx="1334724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3556000" y="1439334"/>
          <a:ext cx="13347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Black Drop</a:t>
          </a:r>
        </a:p>
      </xdr:txBody>
    </xdr:sp>
    <xdr:clientData/>
  </xdr:oneCellAnchor>
  <xdr:oneCellAnchor>
    <xdr:from>
      <xdr:col>8</xdr:col>
      <xdr:colOff>39254</xdr:colOff>
      <xdr:row>10</xdr:row>
      <xdr:rowOff>133351</xdr:rowOff>
    </xdr:from>
    <xdr:ext cx="76091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6876087" y="2366434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  <xdr:oneCellAnchor>
    <xdr:from>
      <xdr:col>1</xdr:col>
      <xdr:colOff>54070</xdr:colOff>
      <xdr:row>10</xdr:row>
      <xdr:rowOff>52918</xdr:rowOff>
    </xdr:from>
    <xdr:ext cx="760913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816070" y="2286001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0</xdr:row>
      <xdr:rowOff>0</xdr:rowOff>
    </xdr:from>
    <xdr:to>
      <xdr:col>2</xdr:col>
      <xdr:colOff>281657</xdr:colOff>
      <xdr:row>2</xdr:row>
      <xdr:rowOff>151271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0"/>
          <a:ext cx="1216377" cy="771031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9</xdr:row>
      <xdr:rowOff>91440</xdr:rowOff>
    </xdr:from>
    <xdr:to>
      <xdr:col>9</xdr:col>
      <xdr:colOff>22860</xdr:colOff>
      <xdr:row>9</xdr:row>
      <xdr:rowOff>91440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822960" y="2136140"/>
          <a:ext cx="6629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977900</xdr:colOff>
      <xdr:row>3</xdr:row>
      <xdr:rowOff>38099</xdr:rowOff>
    </xdr:from>
    <xdr:to>
      <xdr:col>9</xdr:col>
      <xdr:colOff>75576</xdr:colOff>
      <xdr:row>23</xdr:row>
      <xdr:rowOff>63500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977900" y="863599"/>
          <a:ext cx="88512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152400</xdr:colOff>
      <xdr:row>3</xdr:row>
      <xdr:rowOff>190500</xdr:rowOff>
    </xdr:from>
    <xdr:to>
      <xdr:col>8</xdr:col>
      <xdr:colOff>1028700</xdr:colOff>
      <xdr:row>22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CxnSpPr/>
      </xdr:nvCxnSpPr>
      <xdr:spPr>
        <a:xfrm flipV="1">
          <a:off x="1168400" y="1016000"/>
          <a:ext cx="85344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86106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6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>
          <a:off x="83413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889000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7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CxnSpPr/>
      </xdr:nvCxnSpPr>
      <xdr:spPr>
        <a:xfrm flipV="1">
          <a:off x="889000" y="5245100"/>
          <a:ext cx="90424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76200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8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CxnSpPr/>
      </xdr:nvCxnSpPr>
      <xdr:spPr>
        <a:xfrm>
          <a:off x="2522220" y="889000"/>
          <a:ext cx="0" cy="3657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17780</xdr:colOff>
      <xdr:row>10</xdr:row>
      <xdr:rowOff>25400</xdr:rowOff>
    </xdr:from>
    <xdr:to>
      <xdr:col>7</xdr:col>
      <xdr:colOff>25400</xdr:colOff>
      <xdr:row>22</xdr:row>
      <xdr:rowOff>152400</xdr:rowOff>
    </xdr:to>
    <xdr:cxnSp macro="">
      <xdr:nvCxnSpPr>
        <xdr:cNvPr id="9" name="Straight Arrow Connector 1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>
        <a:xfrm flipH="1">
          <a:off x="5796280" y="2171700"/>
          <a:ext cx="7620" cy="2413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495300</xdr:colOff>
      <xdr:row>57</xdr:row>
      <xdr:rowOff>88900</xdr:rowOff>
    </xdr:from>
    <xdr:to>
      <xdr:col>11</xdr:col>
      <xdr:colOff>65757</xdr:colOff>
      <xdr:row>61</xdr:row>
      <xdr:rowOff>47131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00" y="10985500"/>
          <a:ext cx="1221457" cy="7710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0</xdr:row>
      <xdr:rowOff>0</xdr:rowOff>
    </xdr:from>
    <xdr:to>
      <xdr:col>2</xdr:col>
      <xdr:colOff>281657</xdr:colOff>
      <xdr:row>2</xdr:row>
      <xdr:rowOff>151271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0"/>
          <a:ext cx="1216377" cy="771031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9</xdr:row>
      <xdr:rowOff>66040</xdr:rowOff>
    </xdr:from>
    <xdr:to>
      <xdr:col>8</xdr:col>
      <xdr:colOff>797560</xdr:colOff>
      <xdr:row>9</xdr:row>
      <xdr:rowOff>66040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772160" y="2037080"/>
          <a:ext cx="654812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946152</xdr:colOff>
      <xdr:row>2</xdr:row>
      <xdr:rowOff>177799</xdr:rowOff>
    </xdr:from>
    <xdr:to>
      <xdr:col>9</xdr:col>
      <xdr:colOff>63500</xdr:colOff>
      <xdr:row>23</xdr:row>
      <xdr:rowOff>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946152" y="800099"/>
          <a:ext cx="8769348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127000</xdr:rowOff>
    </xdr:from>
    <xdr:to>
      <xdr:col>8</xdr:col>
      <xdr:colOff>965200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1079500" y="952500"/>
          <a:ext cx="84582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CxnSpPr/>
      </xdr:nvCxnSpPr>
      <xdr:spPr>
        <a:xfrm>
          <a:off x="901700" y="5245100"/>
          <a:ext cx="89281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</xdr:colOff>
      <xdr:row>6</xdr:row>
      <xdr:rowOff>20320</xdr:rowOff>
    </xdr:from>
    <xdr:to>
      <xdr:col>8</xdr:col>
      <xdr:colOff>40640</xdr:colOff>
      <xdr:row>20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CxnSpPr/>
      </xdr:nvCxnSpPr>
      <xdr:spPr>
        <a:xfrm flipH="1">
          <a:off x="6553200" y="1412240"/>
          <a:ext cx="10160" cy="26822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284480</xdr:colOff>
      <xdr:row>55</xdr:row>
      <xdr:rowOff>132080</xdr:rowOff>
    </xdr:from>
    <xdr:to>
      <xdr:col>10</xdr:col>
      <xdr:colOff>677897</xdr:colOff>
      <xdr:row>59</xdr:row>
      <xdr:rowOff>90311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0160" y="9916160"/>
          <a:ext cx="1216377" cy="7710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629920</xdr:colOff>
      <xdr:row>0</xdr:row>
      <xdr:rowOff>0</xdr:rowOff>
    </xdr:from>
    <xdr:to>
      <xdr:col>2</xdr:col>
      <xdr:colOff>261337</xdr:colOff>
      <xdr:row>2</xdr:row>
      <xdr:rowOff>151271</xdr:rowOff>
    </xdr:to>
    <xdr:pic>
      <xdr:nvPicPr>
        <xdr:cNvPr id="21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20" y="0"/>
          <a:ext cx="1216377" cy="771031"/>
        </a:xfrm>
        <a:prstGeom prst="rect">
          <a:avLst/>
        </a:prstGeom>
      </xdr:spPr>
    </xdr:pic>
    <xdr:clientData/>
  </xdr:twoCellAnchor>
  <xdr:twoCellAnchor>
    <xdr:from>
      <xdr:col>7</xdr:col>
      <xdr:colOff>10160</xdr:colOff>
      <xdr:row>3</xdr:row>
      <xdr:rowOff>50800</xdr:rowOff>
    </xdr:from>
    <xdr:to>
      <xdr:col>7</xdr:col>
      <xdr:colOff>12700</xdr:colOff>
      <xdr:row>22</xdr:row>
      <xdr:rowOff>182880</xdr:rowOff>
    </xdr:to>
    <xdr:cxnSp macro="">
      <xdr:nvCxnSpPr>
        <xdr:cNvPr id="19" name="Straight Connector 1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CxnSpPr/>
      </xdr:nvCxnSpPr>
      <xdr:spPr>
        <a:xfrm flipH="1">
          <a:off x="7503160" y="876300"/>
          <a:ext cx="2540" cy="399288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952500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952500" y="812799"/>
          <a:ext cx="87750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177800</xdr:rowOff>
    </xdr:from>
    <xdr:to>
      <xdr:col>8</xdr:col>
      <xdr:colOff>965200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CxnSpPr/>
      </xdr:nvCxnSpPr>
      <xdr:spPr>
        <a:xfrm flipV="1">
          <a:off x="1079500" y="1003300"/>
          <a:ext cx="8458200" cy="37338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86106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6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CxnSpPr/>
      </xdr:nvCxnSpPr>
      <xdr:spPr>
        <a:xfrm>
          <a:off x="83413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7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CxnSpPr/>
      </xdr:nvCxnSpPr>
      <xdr:spPr>
        <a:xfrm flipV="1">
          <a:off x="901700" y="5245100"/>
          <a:ext cx="89281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990600</xdr:colOff>
      <xdr:row>6</xdr:row>
      <xdr:rowOff>101600</xdr:rowOff>
    </xdr:to>
    <xdr:cxnSp macro="">
      <xdr:nvCxnSpPr>
        <xdr:cNvPr id="10" name="Straight Arrow Connector 15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CxnSpPr/>
      </xdr:nvCxnSpPr>
      <xdr:spPr>
        <a:xfrm>
          <a:off x="1026160" y="1521460"/>
          <a:ext cx="8536940" cy="152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3</xdr:col>
      <xdr:colOff>73660</xdr:colOff>
      <xdr:row>19</xdr:row>
      <xdr:rowOff>50800</xdr:rowOff>
    </xdr:from>
    <xdr:to>
      <xdr:col>6</xdr:col>
      <xdr:colOff>1054100</xdr:colOff>
      <xdr:row>19</xdr:row>
      <xdr:rowOff>71120</xdr:rowOff>
    </xdr:to>
    <xdr:cxnSp macro="">
      <xdr:nvCxnSpPr>
        <xdr:cNvPr id="14" name="Straight Arrow Connector 8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CxnSpPr/>
      </xdr:nvCxnSpPr>
      <xdr:spPr>
        <a:xfrm flipV="1">
          <a:off x="3248660" y="4127500"/>
          <a:ext cx="421894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15" name="Straight Arrow Connector 12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3</xdr:row>
      <xdr:rowOff>99060</xdr:rowOff>
    </xdr:from>
    <xdr:to>
      <xdr:col>3</xdr:col>
      <xdr:colOff>495300</xdr:colOff>
      <xdr:row>22</xdr:row>
      <xdr:rowOff>124460</xdr:rowOff>
    </xdr:to>
    <xdr:cxnSp macro="">
      <xdr:nvCxnSpPr>
        <xdr:cNvPr id="17" name="Straight Arrow Connector 17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CxnSpPr/>
      </xdr:nvCxnSpPr>
      <xdr:spPr>
        <a:xfrm>
          <a:off x="2903220" y="92202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</xdr:row>
      <xdr:rowOff>12700</xdr:rowOff>
    </xdr:from>
    <xdr:to>
      <xdr:col>3</xdr:col>
      <xdr:colOff>10160</xdr:colOff>
      <xdr:row>22</xdr:row>
      <xdr:rowOff>172720</xdr:rowOff>
    </xdr:to>
    <xdr:cxnSp macro="">
      <xdr:nvCxnSpPr>
        <xdr:cNvPr id="18" name="Straight Connector 3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CxnSpPr/>
      </xdr:nvCxnSpPr>
      <xdr:spPr>
        <a:xfrm>
          <a:off x="3175000" y="838200"/>
          <a:ext cx="10160" cy="402082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132080</xdr:colOff>
      <xdr:row>57</xdr:row>
      <xdr:rowOff>111760</xdr:rowOff>
    </xdr:from>
    <xdr:to>
      <xdr:col>10</xdr:col>
      <xdr:colOff>525497</xdr:colOff>
      <xdr:row>61</xdr:row>
      <xdr:rowOff>158891</xdr:rowOff>
    </xdr:to>
    <xdr:pic>
      <xdr:nvPicPr>
        <xdr:cNvPr id="22" name="Pictur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760" y="10911840"/>
          <a:ext cx="1216377" cy="7710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0</xdr:row>
      <xdr:rowOff>0</xdr:rowOff>
    </xdr:from>
    <xdr:to>
      <xdr:col>2</xdr:col>
      <xdr:colOff>281657</xdr:colOff>
      <xdr:row>2</xdr:row>
      <xdr:rowOff>151271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0"/>
          <a:ext cx="1216377" cy="771031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965200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 bwMode="auto">
        <a:xfrm>
          <a:off x="965200" y="812799"/>
          <a:ext cx="87623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6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CxnSpPr/>
      </xdr:nvCxnSpPr>
      <xdr:spPr>
        <a:xfrm flipV="1">
          <a:off x="825500" y="927100"/>
          <a:ext cx="6502400" cy="3556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12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1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V="1">
          <a:off x="901700" y="5245100"/>
          <a:ext cx="89281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698500</xdr:colOff>
      <xdr:row>3</xdr:row>
      <xdr:rowOff>88900</xdr:rowOff>
    </xdr:from>
    <xdr:to>
      <xdr:col>3</xdr:col>
      <xdr:colOff>698500</xdr:colOff>
      <xdr:row>22</xdr:row>
      <xdr:rowOff>114300</xdr:rowOff>
    </xdr:to>
    <xdr:cxnSp macro="">
      <xdr:nvCxnSpPr>
        <xdr:cNvPr id="9" name="Straight Arrow Connector 17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CxnSpPr/>
      </xdr:nvCxnSpPr>
      <xdr:spPr>
        <a:xfrm>
          <a:off x="311150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</xdr:row>
      <xdr:rowOff>93980</xdr:rowOff>
    </xdr:from>
    <xdr:to>
      <xdr:col>5</xdr:col>
      <xdr:colOff>22860</xdr:colOff>
      <xdr:row>23</xdr:row>
      <xdr:rowOff>45720</xdr:rowOff>
    </xdr:to>
    <xdr:cxnSp macro="">
      <xdr:nvCxnSpPr>
        <xdr:cNvPr id="10" name="Straight Connector 3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CxnSpPr/>
      </xdr:nvCxnSpPr>
      <xdr:spPr>
        <a:xfrm>
          <a:off x="4064000" y="906780"/>
          <a:ext cx="22860" cy="376174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</xdr:colOff>
      <xdr:row>3</xdr:row>
      <xdr:rowOff>50800</xdr:rowOff>
    </xdr:from>
    <xdr:to>
      <xdr:col>5</xdr:col>
      <xdr:colOff>35560</xdr:colOff>
      <xdr:row>22</xdr:row>
      <xdr:rowOff>182880</xdr:rowOff>
    </xdr:to>
    <xdr:cxnSp macro="">
      <xdr:nvCxnSpPr>
        <xdr:cNvPr id="11" name="Straight Connector 1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CxnSpPr/>
      </xdr:nvCxnSpPr>
      <xdr:spPr>
        <a:xfrm>
          <a:off x="4093633" y="872067"/>
          <a:ext cx="22860" cy="3832013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284480</xdr:colOff>
      <xdr:row>56</xdr:row>
      <xdr:rowOff>193040</xdr:rowOff>
    </xdr:from>
    <xdr:to>
      <xdr:col>10</xdr:col>
      <xdr:colOff>677897</xdr:colOff>
      <xdr:row>60</xdr:row>
      <xdr:rowOff>151271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0160" y="11196320"/>
          <a:ext cx="1216377" cy="7710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698500</xdr:colOff>
      <xdr:row>2</xdr:row>
      <xdr:rowOff>50800</xdr:rowOff>
    </xdr:from>
    <xdr:to>
      <xdr:col>9</xdr:col>
      <xdr:colOff>147320</xdr:colOff>
      <xdr:row>23</xdr:row>
      <xdr:rowOff>170180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0" y="838200"/>
          <a:ext cx="7005320" cy="419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0</xdr:row>
      <xdr:rowOff>0</xdr:rowOff>
    </xdr:from>
    <xdr:to>
      <xdr:col>2</xdr:col>
      <xdr:colOff>279117</xdr:colOff>
      <xdr:row>1</xdr:row>
      <xdr:rowOff>456071</xdr:rowOff>
    </xdr:to>
    <xdr:pic>
      <xdr:nvPicPr>
        <xdr:cNvPr id="14" name="Pictur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0"/>
          <a:ext cx="1218917" cy="773571"/>
        </a:xfrm>
        <a:prstGeom prst="rect">
          <a:avLst/>
        </a:prstGeom>
      </xdr:spPr>
    </xdr:pic>
    <xdr:clientData/>
  </xdr:twoCellAnchor>
  <xdr:twoCellAnchor>
    <xdr:from>
      <xdr:col>1</xdr:col>
      <xdr:colOff>71120</xdr:colOff>
      <xdr:row>5</xdr:row>
      <xdr:rowOff>137160</xdr:rowOff>
    </xdr:from>
    <xdr:to>
      <xdr:col>9</xdr:col>
      <xdr:colOff>33020</xdr:colOff>
      <xdr:row>5</xdr:row>
      <xdr:rowOff>137160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3120" y="1445260"/>
          <a:ext cx="6756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</xdr:colOff>
      <xdr:row>3</xdr:row>
      <xdr:rowOff>101600</xdr:rowOff>
    </xdr:from>
    <xdr:to>
      <xdr:col>8</xdr:col>
      <xdr:colOff>1054100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CxnSpPr/>
      </xdr:nvCxnSpPr>
      <xdr:spPr>
        <a:xfrm flipV="1">
          <a:off x="1079500" y="927100"/>
          <a:ext cx="8851900" cy="3810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114300</xdr:colOff>
      <xdr:row>2</xdr:row>
      <xdr:rowOff>139700</xdr:rowOff>
    </xdr:from>
    <xdr:to>
      <xdr:col>10</xdr:col>
      <xdr:colOff>330200</xdr:colOff>
      <xdr:row>23</xdr:row>
      <xdr:rowOff>127000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/>
        </xdr:cNvSpPr>
      </xdr:nvSpPr>
      <xdr:spPr bwMode="auto">
        <a:xfrm>
          <a:off x="8496300" y="927100"/>
          <a:ext cx="215900" cy="4064000"/>
        </a:xfrm>
        <a:prstGeom prst="rect">
          <a:avLst/>
        </a:prstGeom>
        <a:solidFill>
          <a:schemeClr val="tx1"/>
        </a:solidFill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3</xdr:col>
      <xdr:colOff>20320</xdr:colOff>
      <xdr:row>18</xdr:row>
      <xdr:rowOff>195580</xdr:rowOff>
    </xdr:from>
    <xdr:to>
      <xdr:col>6</xdr:col>
      <xdr:colOff>792480</xdr:colOff>
      <xdr:row>19</xdr:row>
      <xdr:rowOff>2540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CxnSpPr/>
      </xdr:nvCxnSpPr>
      <xdr:spPr>
        <a:xfrm flipV="1">
          <a:off x="2433320" y="4145280"/>
          <a:ext cx="33121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685800</xdr:colOff>
      <xdr:row>2</xdr:row>
      <xdr:rowOff>63500</xdr:rowOff>
    </xdr:from>
    <xdr:to>
      <xdr:col>9</xdr:col>
      <xdr:colOff>698500</xdr:colOff>
      <xdr:row>23</xdr:row>
      <xdr:rowOff>177800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CxnSpPr/>
      </xdr:nvCxnSpPr>
      <xdr:spPr>
        <a:xfrm>
          <a:off x="8242300" y="850900"/>
          <a:ext cx="12700" cy="4191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4</xdr:row>
      <xdr:rowOff>127000</xdr:rowOff>
    </xdr:from>
    <xdr:to>
      <xdr:col>4</xdr:col>
      <xdr:colOff>571500</xdr:colOff>
      <xdr:row>21</xdr:row>
      <xdr:rowOff>76200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CxnSpPr/>
      </xdr:nvCxnSpPr>
      <xdr:spPr>
        <a:xfrm>
          <a:off x="3771900" y="1231900"/>
          <a:ext cx="38100" cy="3403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25400</xdr:colOff>
      <xdr:row>63</xdr:row>
      <xdr:rowOff>127000</xdr:rowOff>
    </xdr:from>
    <xdr:to>
      <xdr:col>10</xdr:col>
      <xdr:colOff>418817</xdr:colOff>
      <xdr:row>67</xdr:row>
      <xdr:rowOff>163971</xdr:rowOff>
    </xdr:to>
    <xdr:pic>
      <xdr:nvPicPr>
        <xdr:cNvPr id="13" name="Pictur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0" y="11747500"/>
          <a:ext cx="1218917" cy="773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673101</xdr:colOff>
      <xdr:row>0</xdr:row>
      <xdr:rowOff>12700</xdr:rowOff>
    </xdr:from>
    <xdr:to>
      <xdr:col>2</xdr:col>
      <xdr:colOff>304801</xdr:colOff>
      <xdr:row>2</xdr:row>
      <xdr:rowOff>169898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1" y="12700"/>
          <a:ext cx="1219200" cy="77949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127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V="1">
          <a:off x="762000" y="965200"/>
          <a:ext cx="66040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127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114300</xdr:colOff>
      <xdr:row>3</xdr:row>
      <xdr:rowOff>38100</xdr:rowOff>
    </xdr:from>
    <xdr:to>
      <xdr:col>10</xdr:col>
      <xdr:colOff>114300</xdr:colOff>
      <xdr:row>23</xdr:row>
      <xdr:rowOff>63500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8305800" y="863600"/>
          <a:ext cx="0" cy="4089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419101</xdr:colOff>
      <xdr:row>50</xdr:row>
      <xdr:rowOff>50800</xdr:rowOff>
    </xdr:from>
    <xdr:to>
      <xdr:col>10</xdr:col>
      <xdr:colOff>812801</xdr:colOff>
      <xdr:row>54</xdr:row>
      <xdr:rowOff>119098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5101" y="10248900"/>
          <a:ext cx="1219200" cy="77949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0</xdr:row>
      <xdr:rowOff>0</xdr:rowOff>
    </xdr:from>
    <xdr:to>
      <xdr:col>2</xdr:col>
      <xdr:colOff>281657</xdr:colOff>
      <xdr:row>2</xdr:row>
      <xdr:rowOff>151271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240" y="0"/>
          <a:ext cx="1218917" cy="773571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9</xdr:row>
      <xdr:rowOff>66040</xdr:rowOff>
    </xdr:from>
    <xdr:to>
      <xdr:col>8</xdr:col>
      <xdr:colOff>797560</xdr:colOff>
      <xdr:row>9</xdr:row>
      <xdr:rowOff>66040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>
        <a:xfrm>
          <a:off x="772160" y="211074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755652</xdr:colOff>
      <xdr:row>2</xdr:row>
      <xdr:rowOff>177799</xdr:rowOff>
    </xdr:from>
    <xdr:to>
      <xdr:col>9</xdr:col>
      <xdr:colOff>63500</xdr:colOff>
      <xdr:row>23</xdr:row>
      <xdr:rowOff>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Arrowheads="1"/>
        </xdr:cNvSpPr>
      </xdr:nvSpPr>
      <xdr:spPr bwMode="auto">
        <a:xfrm>
          <a:off x="755652" y="804332"/>
          <a:ext cx="6707715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127000</xdr:rowOff>
    </xdr:from>
    <xdr:to>
      <xdr:col>8</xdr:col>
      <xdr:colOff>965200</xdr:colOff>
      <xdr:row>22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CxnSpPr/>
      </xdr:nvCxnSpPr>
      <xdr:spPr>
        <a:xfrm flipV="1">
          <a:off x="825500" y="952500"/>
          <a:ext cx="65405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296332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8525932" y="842433"/>
          <a:ext cx="104987" cy="4076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CxnSpPr/>
      </xdr:nvCxnSpPr>
      <xdr:spPr>
        <a:xfrm>
          <a:off x="762000" y="5245100"/>
          <a:ext cx="67818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284480</xdr:colOff>
      <xdr:row>48</xdr:row>
      <xdr:rowOff>132080</xdr:rowOff>
    </xdr:from>
    <xdr:to>
      <xdr:col>10</xdr:col>
      <xdr:colOff>677897</xdr:colOff>
      <xdr:row>52</xdr:row>
      <xdr:rowOff>90311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0480" y="11638280"/>
          <a:ext cx="1218917" cy="77103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670560</xdr:colOff>
      <xdr:row>0</xdr:row>
      <xdr:rowOff>0</xdr:rowOff>
    </xdr:from>
    <xdr:to>
      <xdr:col>2</xdr:col>
      <xdr:colOff>302260</xdr:colOff>
      <xdr:row>2</xdr:row>
      <xdr:rowOff>157198</xdr:rowOff>
    </xdr:to>
    <xdr:pic>
      <xdr:nvPicPr>
        <xdr:cNvPr id="9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0"/>
          <a:ext cx="1219200" cy="779498"/>
        </a:xfrm>
        <a:prstGeom prst="rect">
          <a:avLst/>
        </a:prstGeom>
      </xdr:spPr>
    </xdr:pic>
    <xdr:clientData/>
  </xdr:twoCellAnchor>
  <xdr:twoCellAnchor editAs="oneCell">
    <xdr:from>
      <xdr:col>8</xdr:col>
      <xdr:colOff>812800</xdr:colOff>
      <xdr:row>47</xdr:row>
      <xdr:rowOff>139700</xdr:rowOff>
    </xdr:from>
    <xdr:to>
      <xdr:col>10</xdr:col>
      <xdr:colOff>381000</xdr:colOff>
      <xdr:row>51</xdr:row>
      <xdr:rowOff>106398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12750800"/>
          <a:ext cx="1219200" cy="77949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673101</xdr:colOff>
      <xdr:row>0</xdr:row>
      <xdr:rowOff>12700</xdr:rowOff>
    </xdr:from>
    <xdr:to>
      <xdr:col>2</xdr:col>
      <xdr:colOff>304801</xdr:colOff>
      <xdr:row>2</xdr:row>
      <xdr:rowOff>169898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1" y="12700"/>
          <a:ext cx="1219200" cy="77949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1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CxnSpPr/>
      </xdr:nvCxnSpPr>
      <xdr:spPr>
        <a:xfrm flipV="1">
          <a:off x="762000" y="965200"/>
          <a:ext cx="66040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31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419101</xdr:colOff>
      <xdr:row>50</xdr:row>
      <xdr:rowOff>50800</xdr:rowOff>
    </xdr:from>
    <xdr:to>
      <xdr:col>10</xdr:col>
      <xdr:colOff>812801</xdr:colOff>
      <xdr:row>54</xdr:row>
      <xdr:rowOff>119098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5101" y="10248900"/>
          <a:ext cx="1219200" cy="7794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673101</xdr:colOff>
      <xdr:row>0</xdr:row>
      <xdr:rowOff>12700</xdr:rowOff>
    </xdr:from>
    <xdr:to>
      <xdr:col>2</xdr:col>
      <xdr:colOff>304801</xdr:colOff>
      <xdr:row>2</xdr:row>
      <xdr:rowOff>169898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1" y="12700"/>
          <a:ext cx="1219200" cy="77949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3822701"/>
        </a:xfrm>
        <a:prstGeom prst="rect">
          <a:avLst/>
        </a:prstGeom>
        <a:noFill/>
        <a:ln w="285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901700" y="965200"/>
          <a:ext cx="86614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419101</xdr:colOff>
      <xdr:row>50</xdr:row>
      <xdr:rowOff>50800</xdr:rowOff>
    </xdr:from>
    <xdr:to>
      <xdr:col>10</xdr:col>
      <xdr:colOff>812801</xdr:colOff>
      <xdr:row>54</xdr:row>
      <xdr:rowOff>119098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5101" y="9156700"/>
          <a:ext cx="1219200" cy="7794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670560</xdr:colOff>
      <xdr:row>0</xdr:row>
      <xdr:rowOff>0</xdr:rowOff>
    </xdr:from>
    <xdr:to>
      <xdr:col>2</xdr:col>
      <xdr:colOff>302260</xdr:colOff>
      <xdr:row>2</xdr:row>
      <xdr:rowOff>157198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0"/>
          <a:ext cx="1216660" cy="776958"/>
        </a:xfrm>
        <a:prstGeom prst="rect">
          <a:avLst/>
        </a:prstGeom>
      </xdr:spPr>
    </xdr:pic>
    <xdr:clientData/>
  </xdr:twoCellAnchor>
  <xdr:twoCellAnchor editAs="oneCell">
    <xdr:from>
      <xdr:col>8</xdr:col>
      <xdr:colOff>812800</xdr:colOff>
      <xdr:row>60</xdr:row>
      <xdr:rowOff>139700</xdr:rowOff>
    </xdr:from>
    <xdr:to>
      <xdr:col>10</xdr:col>
      <xdr:colOff>381000</xdr:colOff>
      <xdr:row>64</xdr:row>
      <xdr:rowOff>106398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9931400"/>
          <a:ext cx="1219200" cy="7794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670560</xdr:colOff>
      <xdr:row>0</xdr:row>
      <xdr:rowOff>0</xdr:rowOff>
    </xdr:from>
    <xdr:to>
      <xdr:col>2</xdr:col>
      <xdr:colOff>302260</xdr:colOff>
      <xdr:row>2</xdr:row>
      <xdr:rowOff>157198</xdr:rowOff>
    </xdr:to>
    <xdr:pic>
      <xdr:nvPicPr>
        <xdr:cNvPr id="9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0"/>
          <a:ext cx="1219200" cy="779498"/>
        </a:xfrm>
        <a:prstGeom prst="rect">
          <a:avLst/>
        </a:prstGeom>
      </xdr:spPr>
    </xdr:pic>
    <xdr:clientData/>
  </xdr:twoCellAnchor>
  <xdr:twoCellAnchor editAs="oneCell">
    <xdr:from>
      <xdr:col>8</xdr:col>
      <xdr:colOff>812800</xdr:colOff>
      <xdr:row>60</xdr:row>
      <xdr:rowOff>139700</xdr:rowOff>
    </xdr:from>
    <xdr:to>
      <xdr:col>10</xdr:col>
      <xdr:colOff>381000</xdr:colOff>
      <xdr:row>64</xdr:row>
      <xdr:rowOff>106398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300" y="12750800"/>
          <a:ext cx="1219200" cy="7794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589280</xdr:colOff>
      <xdr:row>0</xdr:row>
      <xdr:rowOff>0</xdr:rowOff>
    </xdr:from>
    <xdr:to>
      <xdr:col>2</xdr:col>
      <xdr:colOff>213924</xdr:colOff>
      <xdr:row>2</xdr:row>
      <xdr:rowOff>144498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280" y="0"/>
          <a:ext cx="1209604" cy="76425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952500</xdr:colOff>
      <xdr:row>3</xdr:row>
      <xdr:rowOff>165100</xdr:rowOff>
    </xdr:from>
    <xdr:to>
      <xdr:col>8</xdr:col>
      <xdr:colOff>927100</xdr:colOff>
      <xdr:row>22</xdr:row>
      <xdr:rowOff>88900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CxnSpPr/>
      </xdr:nvCxnSpPr>
      <xdr:spPr>
        <a:xfrm flipV="1">
          <a:off x="952500" y="990600"/>
          <a:ext cx="85471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680720</xdr:colOff>
      <xdr:row>52</xdr:row>
      <xdr:rowOff>40640</xdr:rowOff>
    </xdr:from>
    <xdr:to>
      <xdr:col>10</xdr:col>
      <xdr:colOff>244404</xdr:colOff>
      <xdr:row>55</xdr:row>
      <xdr:rowOff>185773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3440" y="10027920"/>
          <a:ext cx="1209604" cy="7642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589280</xdr:colOff>
      <xdr:row>0</xdr:row>
      <xdr:rowOff>0</xdr:rowOff>
    </xdr:from>
    <xdr:to>
      <xdr:col>2</xdr:col>
      <xdr:colOff>213924</xdr:colOff>
      <xdr:row>2</xdr:row>
      <xdr:rowOff>144498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280" y="0"/>
          <a:ext cx="1212144" cy="76679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952500</xdr:colOff>
      <xdr:row>3</xdr:row>
      <xdr:rowOff>165100</xdr:rowOff>
    </xdr:from>
    <xdr:to>
      <xdr:col>8</xdr:col>
      <xdr:colOff>927100</xdr:colOff>
      <xdr:row>22</xdr:row>
      <xdr:rowOff>88900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 flipV="1">
          <a:off x="762000" y="990600"/>
          <a:ext cx="66040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680720</xdr:colOff>
      <xdr:row>51</xdr:row>
      <xdr:rowOff>40640</xdr:rowOff>
    </xdr:from>
    <xdr:to>
      <xdr:col>10</xdr:col>
      <xdr:colOff>244404</xdr:colOff>
      <xdr:row>54</xdr:row>
      <xdr:rowOff>185773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220" y="10734040"/>
          <a:ext cx="1214684" cy="7547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579120</xdr:colOff>
      <xdr:row>0</xdr:row>
      <xdr:rowOff>0</xdr:rowOff>
    </xdr:from>
    <xdr:to>
      <xdr:col>2</xdr:col>
      <xdr:colOff>210537</xdr:colOff>
      <xdr:row>2</xdr:row>
      <xdr:rowOff>151271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" y="0"/>
          <a:ext cx="1216377" cy="7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2</xdr:row>
      <xdr:rowOff>132080</xdr:rowOff>
    </xdr:from>
    <xdr:to>
      <xdr:col>9</xdr:col>
      <xdr:colOff>152400</xdr:colOff>
      <xdr:row>23</xdr:row>
      <xdr:rowOff>60960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" y="751840"/>
          <a:ext cx="6858000" cy="419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20320</xdr:colOff>
      <xdr:row>5</xdr:row>
      <xdr:rowOff>127000</xdr:rowOff>
    </xdr:from>
    <xdr:to>
      <xdr:col>8</xdr:col>
      <xdr:colOff>807720</xdr:colOff>
      <xdr:row>5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782320" y="1356360"/>
          <a:ext cx="654812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927100</xdr:colOff>
      <xdr:row>4</xdr:row>
      <xdr:rowOff>12700</xdr:rowOff>
    </xdr:from>
    <xdr:to>
      <xdr:col>8</xdr:col>
      <xdr:colOff>965200</xdr:colOff>
      <xdr:row>22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 flipV="1">
          <a:off x="927100" y="1041400"/>
          <a:ext cx="861060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23</xdr:row>
      <xdr:rowOff>162560</xdr:rowOff>
    </xdr:from>
    <xdr:to>
      <xdr:col>9</xdr:col>
      <xdr:colOff>177800</xdr:colOff>
      <xdr:row>23</xdr:row>
      <xdr:rowOff>175260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>
        <a:xfrm flipV="1">
          <a:off x="622300" y="5049520"/>
          <a:ext cx="690118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314960</xdr:colOff>
      <xdr:row>3</xdr:row>
      <xdr:rowOff>182880</xdr:rowOff>
    </xdr:from>
    <xdr:to>
      <xdr:col>1</xdr:col>
      <xdr:colOff>325120</xdr:colOff>
      <xdr:row>22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CxnSpPr/>
      </xdr:nvCxnSpPr>
      <xdr:spPr>
        <a:xfrm>
          <a:off x="1076960" y="1005840"/>
          <a:ext cx="10160" cy="36779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96520</xdr:colOff>
      <xdr:row>62</xdr:row>
      <xdr:rowOff>162560</xdr:rowOff>
    </xdr:from>
    <xdr:to>
      <xdr:col>10</xdr:col>
      <xdr:colOff>489937</xdr:colOff>
      <xdr:row>66</xdr:row>
      <xdr:rowOff>120791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2520" y="10970260"/>
          <a:ext cx="1218917" cy="7710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477520</xdr:colOff>
      <xdr:row>4</xdr:row>
      <xdr:rowOff>77816</xdr:rowOff>
    </xdr:from>
    <xdr:to>
      <xdr:col>9</xdr:col>
      <xdr:colOff>243840</xdr:colOff>
      <xdr:row>23</xdr:row>
      <xdr:rowOff>76200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520" y="1106516"/>
          <a:ext cx="7462520" cy="3859184"/>
        </a:xfrm>
        <a:prstGeom prst="rect">
          <a:avLst/>
        </a:prstGeom>
      </xdr:spPr>
    </xdr:pic>
    <xdr:clientData/>
  </xdr:twoCellAnchor>
  <xdr:twoCellAnchor>
    <xdr:from>
      <xdr:col>1</xdr:col>
      <xdr:colOff>579120</xdr:colOff>
      <xdr:row>13</xdr:row>
      <xdr:rowOff>10160</xdr:rowOff>
    </xdr:from>
    <xdr:to>
      <xdr:col>8</xdr:col>
      <xdr:colOff>172720</xdr:colOff>
      <xdr:row>13</xdr:row>
      <xdr:rowOff>20320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CxnSpPr/>
      </xdr:nvCxnSpPr>
      <xdr:spPr>
        <a:xfrm flipV="1">
          <a:off x="1341120" y="2905760"/>
          <a:ext cx="56489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584200</xdr:colOff>
      <xdr:row>10</xdr:row>
      <xdr:rowOff>190500</xdr:rowOff>
    </xdr:from>
    <xdr:to>
      <xdr:col>8</xdr:col>
      <xdr:colOff>152400</xdr:colOff>
      <xdr:row>22</xdr:row>
      <xdr:rowOff>63500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 flipV="1">
          <a:off x="1346200" y="2438400"/>
          <a:ext cx="5676900" cy="2311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292100</xdr:colOff>
      <xdr:row>6</xdr:row>
      <xdr:rowOff>36284</xdr:rowOff>
    </xdr:from>
    <xdr:to>
      <xdr:col>10</xdr:col>
      <xdr:colOff>337819</xdr:colOff>
      <xdr:row>22</xdr:row>
      <xdr:rowOff>63500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8813800" y="1471384"/>
          <a:ext cx="45719" cy="327841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101600</xdr:colOff>
      <xdr:row>22</xdr:row>
      <xdr:rowOff>190500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CxnSpPr/>
      </xdr:nvCxnSpPr>
      <xdr:spPr>
        <a:xfrm>
          <a:off x="8608060" y="1183640"/>
          <a:ext cx="15240" cy="3693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1031240</xdr:colOff>
      <xdr:row>10</xdr:row>
      <xdr:rowOff>144780</xdr:rowOff>
    </xdr:from>
    <xdr:to>
      <xdr:col>3</xdr:col>
      <xdr:colOff>1054100</xdr:colOff>
      <xdr:row>22</xdr:row>
      <xdr:rowOff>101600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CxnSpPr/>
      </xdr:nvCxnSpPr>
      <xdr:spPr>
        <a:xfrm>
          <a:off x="3482340" y="2392680"/>
          <a:ext cx="22860" cy="23952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</xdr:row>
      <xdr:rowOff>114300</xdr:rowOff>
    </xdr:from>
    <xdr:to>
      <xdr:col>10</xdr:col>
      <xdr:colOff>622300</xdr:colOff>
      <xdr:row>5</xdr:row>
      <xdr:rowOff>114300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CxnSpPr/>
      </xdr:nvCxnSpPr>
      <xdr:spPr>
        <a:xfrm>
          <a:off x="8636000" y="1384300"/>
          <a:ext cx="469900" cy="0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215900</xdr:colOff>
      <xdr:row>22</xdr:row>
      <xdr:rowOff>127000</xdr:rowOff>
    </xdr:from>
    <xdr:to>
      <xdr:col>10</xdr:col>
      <xdr:colOff>406400</xdr:colOff>
      <xdr:row>22</xdr:row>
      <xdr:rowOff>136071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CxnSpPr/>
      </xdr:nvCxnSpPr>
      <xdr:spPr>
        <a:xfrm>
          <a:off x="8737600" y="4813300"/>
          <a:ext cx="190500" cy="9071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3</xdr:row>
      <xdr:rowOff>190500</xdr:rowOff>
    </xdr:from>
    <xdr:to>
      <xdr:col>9</xdr:col>
      <xdr:colOff>208643</xdr:colOff>
      <xdr:row>4</xdr:row>
      <xdr:rowOff>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CxnSpPr/>
      </xdr:nvCxnSpPr>
      <xdr:spPr>
        <a:xfrm>
          <a:off x="471714" y="1043214"/>
          <a:ext cx="7393215" cy="907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685800</xdr:colOff>
      <xdr:row>22</xdr:row>
      <xdr:rowOff>190500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CxnSpPr/>
      </xdr:nvCxnSpPr>
      <xdr:spPr>
        <a:xfrm>
          <a:off x="9207500" y="1478280"/>
          <a:ext cx="0" cy="33985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172720</xdr:colOff>
      <xdr:row>16</xdr:row>
      <xdr:rowOff>193040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3698240" y="26822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495300</xdr:colOff>
      <xdr:row>0</xdr:row>
      <xdr:rowOff>165100</xdr:rowOff>
    </xdr:from>
    <xdr:to>
      <xdr:col>2</xdr:col>
      <xdr:colOff>88617</xdr:colOff>
      <xdr:row>3</xdr:row>
      <xdr:rowOff>113171</xdr:rowOff>
    </xdr:to>
    <xdr:pic>
      <xdr:nvPicPr>
        <xdr:cNvPr id="14" name="Pictur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65100"/>
          <a:ext cx="1218917" cy="773571"/>
        </a:xfrm>
        <a:prstGeom prst="rect">
          <a:avLst/>
        </a:prstGeom>
      </xdr:spPr>
    </xdr:pic>
    <xdr:clientData/>
  </xdr:twoCellAnchor>
  <xdr:twoCellAnchor editAs="oneCell">
    <xdr:from>
      <xdr:col>9</xdr:col>
      <xdr:colOff>355602</xdr:colOff>
      <xdr:row>50</xdr:row>
      <xdr:rowOff>38099</xdr:rowOff>
    </xdr:from>
    <xdr:to>
      <xdr:col>10</xdr:col>
      <xdr:colOff>749019</xdr:colOff>
      <xdr:row>54</xdr:row>
      <xdr:rowOff>2045</xdr:rowOff>
    </xdr:to>
    <xdr:pic>
      <xdr:nvPicPr>
        <xdr:cNvPr id="17" name="Pictur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35" y="9537699"/>
          <a:ext cx="1223151" cy="773571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</xdr:row>
      <xdr:rowOff>50800</xdr:rowOff>
    </xdr:from>
    <xdr:to>
      <xdr:col>19</xdr:col>
      <xdr:colOff>586300</xdr:colOff>
      <xdr:row>24</xdr:row>
      <xdr:rowOff>64000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12001500" y="2705100"/>
          <a:ext cx="4536000" cy="24516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1:1.85 (LetterBox)</a:t>
          </a:r>
        </a:p>
      </xdr:txBody>
    </xdr:sp>
    <xdr:clientData/>
  </xdr:twoCellAnchor>
  <xdr:twoCellAnchor>
    <xdr:from>
      <xdr:col>14</xdr:col>
      <xdr:colOff>317500</xdr:colOff>
      <xdr:row>6</xdr:row>
      <xdr:rowOff>152400</xdr:rowOff>
    </xdr:from>
    <xdr:to>
      <xdr:col>19</xdr:col>
      <xdr:colOff>553200</xdr:colOff>
      <xdr:row>18</xdr:row>
      <xdr:rowOff>165600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12141200" y="1587500"/>
          <a:ext cx="4363200" cy="24516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1:1.78</a:t>
          </a:r>
          <a:r>
            <a:rPr lang="en-US" sz="1100" baseline="0"/>
            <a:t> </a:t>
          </a:r>
          <a:r>
            <a:rPr lang="en-US" sz="1100"/>
            <a:t> (16/9) (HD)</a:t>
          </a:r>
        </a:p>
      </xdr:txBody>
    </xdr:sp>
    <xdr:clientData/>
  </xdr:twoCellAnchor>
  <xdr:twoCellAnchor>
    <xdr:from>
      <xdr:col>15</xdr:col>
      <xdr:colOff>711200</xdr:colOff>
      <xdr:row>20</xdr:row>
      <xdr:rowOff>63500</xdr:rowOff>
    </xdr:from>
    <xdr:to>
      <xdr:col>19</xdr:col>
      <xdr:colOff>674400</xdr:colOff>
      <xdr:row>32</xdr:row>
      <xdr:rowOff>64000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13360400" y="4343400"/>
          <a:ext cx="3265200" cy="24516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1:1.33 (SD)</a:t>
          </a:r>
        </a:p>
      </xdr:txBody>
    </xdr:sp>
    <xdr:clientData/>
  </xdr:twoCellAnchor>
  <xdr:twoCellAnchor>
    <xdr:from>
      <xdr:col>7</xdr:col>
      <xdr:colOff>419100</xdr:colOff>
      <xdr:row>10</xdr:row>
      <xdr:rowOff>76200</xdr:rowOff>
    </xdr:from>
    <xdr:to>
      <xdr:col>7</xdr:col>
      <xdr:colOff>431800</xdr:colOff>
      <xdr:row>22</xdr:row>
      <xdr:rowOff>139700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CxnSpPr/>
      </xdr:nvCxnSpPr>
      <xdr:spPr>
        <a:xfrm flipH="1" flipV="1">
          <a:off x="6464300" y="2324100"/>
          <a:ext cx="12700" cy="250190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279400</xdr:colOff>
      <xdr:row>10</xdr:row>
      <xdr:rowOff>63500</xdr:rowOff>
    </xdr:from>
    <xdr:to>
      <xdr:col>2</xdr:col>
      <xdr:colOff>292100</xdr:colOff>
      <xdr:row>22</xdr:row>
      <xdr:rowOff>127000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CxnSpPr/>
      </xdr:nvCxnSpPr>
      <xdr:spPr>
        <a:xfrm flipH="1" flipV="1">
          <a:off x="1905000" y="2311400"/>
          <a:ext cx="12700" cy="250190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10</xdr:row>
      <xdr:rowOff>50800</xdr:rowOff>
    </xdr:from>
    <xdr:to>
      <xdr:col>2</xdr:col>
      <xdr:colOff>393700</xdr:colOff>
      <xdr:row>22</xdr:row>
      <xdr:rowOff>114300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CxnSpPr/>
      </xdr:nvCxnSpPr>
      <xdr:spPr>
        <a:xfrm flipH="1" flipV="1">
          <a:off x="2006600" y="2298700"/>
          <a:ext cx="12700" cy="2501900"/>
        </a:xfrm>
        <a:prstGeom prst="line">
          <a:avLst/>
        </a:prstGeom>
        <a:ln>
          <a:prstDash val="dash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330200</xdr:colOff>
      <xdr:row>10</xdr:row>
      <xdr:rowOff>25400</xdr:rowOff>
    </xdr:from>
    <xdr:to>
      <xdr:col>7</xdr:col>
      <xdr:colOff>342900</xdr:colOff>
      <xdr:row>22</xdr:row>
      <xdr:rowOff>88900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CxnSpPr/>
      </xdr:nvCxnSpPr>
      <xdr:spPr>
        <a:xfrm flipH="1" flipV="1">
          <a:off x="6375400" y="2273300"/>
          <a:ext cx="12700" cy="2501900"/>
        </a:xfrm>
        <a:prstGeom prst="line">
          <a:avLst/>
        </a:prstGeom>
        <a:ln>
          <a:prstDash val="dash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647700</xdr:colOff>
      <xdr:row>10</xdr:row>
      <xdr:rowOff>12700</xdr:rowOff>
    </xdr:from>
    <xdr:to>
      <xdr:col>6</xdr:col>
      <xdr:colOff>660400</xdr:colOff>
      <xdr:row>22</xdr:row>
      <xdr:rowOff>76200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CxnSpPr/>
      </xdr:nvCxnSpPr>
      <xdr:spPr>
        <a:xfrm flipH="1" flipV="1">
          <a:off x="5867400" y="2260600"/>
          <a:ext cx="12700" cy="250190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127000</xdr:colOff>
      <xdr:row>10</xdr:row>
      <xdr:rowOff>50800</xdr:rowOff>
    </xdr:from>
    <xdr:to>
      <xdr:col>3</xdr:col>
      <xdr:colOff>139700</xdr:colOff>
      <xdr:row>22</xdr:row>
      <xdr:rowOff>114300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CxnSpPr/>
      </xdr:nvCxnSpPr>
      <xdr:spPr>
        <a:xfrm flipH="1" flipV="1">
          <a:off x="2578100" y="2298700"/>
          <a:ext cx="12700" cy="250190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736600</xdr:colOff>
      <xdr:row>24</xdr:row>
      <xdr:rowOff>25400</xdr:rowOff>
    </xdr:from>
    <xdr:to>
      <xdr:col>0</xdr:col>
      <xdr:colOff>749300</xdr:colOff>
      <xdr:row>26</xdr:row>
      <xdr:rowOff>127000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CxnSpPr/>
      </xdr:nvCxnSpPr>
      <xdr:spPr>
        <a:xfrm flipH="1" flipV="1">
          <a:off x="736600" y="5118100"/>
          <a:ext cx="12700" cy="50800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12700</xdr:colOff>
      <xdr:row>26</xdr:row>
      <xdr:rowOff>127000</xdr:rowOff>
    </xdr:to>
    <xdr:cxnSp macro="">
      <xdr:nvCxnSpPr>
        <xdr:cNvPr id="34" name="Straight Connector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CxnSpPr/>
      </xdr:nvCxnSpPr>
      <xdr:spPr>
        <a:xfrm flipH="1" flipV="1">
          <a:off x="2451100" y="5092700"/>
          <a:ext cx="12700" cy="533400"/>
        </a:xfrm>
        <a:prstGeom prst="line">
          <a:avLst/>
        </a:prstGeom>
        <a:ln>
          <a:prstDash val="dash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</xdr:colOff>
      <xdr:row>24</xdr:row>
      <xdr:rowOff>12700</xdr:rowOff>
    </xdr:from>
    <xdr:to>
      <xdr:col>5</xdr:col>
      <xdr:colOff>25400</xdr:colOff>
      <xdr:row>26</xdr:row>
      <xdr:rowOff>152400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CxnSpPr/>
      </xdr:nvCxnSpPr>
      <xdr:spPr>
        <a:xfrm flipH="1" flipV="1">
          <a:off x="4406900" y="5105400"/>
          <a:ext cx="12700" cy="54610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673100</xdr:colOff>
      <xdr:row>10</xdr:row>
      <xdr:rowOff>114300</xdr:rowOff>
    </xdr:from>
    <xdr:to>
      <xdr:col>19</xdr:col>
      <xdr:colOff>711200</xdr:colOff>
      <xdr:row>22</xdr:row>
      <xdr:rowOff>127500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845800" y="2362200"/>
          <a:ext cx="5816600" cy="24516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673100</xdr:colOff>
      <xdr:row>11</xdr:row>
      <xdr:rowOff>101600</xdr:rowOff>
    </xdr:from>
    <xdr:to>
      <xdr:col>19</xdr:col>
      <xdr:colOff>711200</xdr:colOff>
      <xdr:row>23</xdr:row>
      <xdr:rowOff>86000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/>
      </xdr:nvSpPr>
      <xdr:spPr>
        <a:xfrm>
          <a:off x="10845800" y="2552700"/>
          <a:ext cx="5816600" cy="24228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9:C19"/>
  <sheetViews>
    <sheetView showGridLines="0" workbookViewId="0">
      <selection activeCell="I19" sqref="I19"/>
    </sheetView>
  </sheetViews>
  <sheetFormatPr defaultColWidth="11" defaultRowHeight="15.75"/>
  <cols>
    <col min="3" max="3" width="91.375" customWidth="1"/>
  </cols>
  <sheetData>
    <row r="9" spans="3:3" ht="23.25">
      <c r="C9" s="116" t="s">
        <v>0</v>
      </c>
    </row>
    <row r="10" spans="3:3" ht="21">
      <c r="C10" s="1"/>
    </row>
    <row r="11" spans="3:3" ht="21">
      <c r="C11" s="114" t="s">
        <v>1</v>
      </c>
    </row>
    <row r="12" spans="3:3" ht="21">
      <c r="C12" s="114" t="s">
        <v>2</v>
      </c>
    </row>
    <row r="13" spans="3:3" ht="21">
      <c r="C13" s="114" t="s">
        <v>3</v>
      </c>
    </row>
    <row r="14" spans="3:3" ht="12.95" customHeight="1">
      <c r="C14" s="114"/>
    </row>
    <row r="15" spans="3:3" ht="18.75">
      <c r="C15" s="124" t="s">
        <v>4</v>
      </c>
    </row>
    <row r="16" spans="3:3" ht="18.75">
      <c r="C16" s="124" t="s">
        <v>5</v>
      </c>
    </row>
    <row r="17" spans="3:3" ht="27.95" customHeight="1">
      <c r="C17" s="115" t="s">
        <v>6</v>
      </c>
    </row>
    <row r="18" spans="3:3">
      <c r="C18" s="117"/>
    </row>
    <row r="19" spans="3:3" ht="21">
      <c r="C19" s="113" t="s">
        <v>7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76"/>
  <sheetViews>
    <sheetView showGridLines="0" topLeftCell="A11" workbookViewId="0">
      <selection activeCell="C33" sqref="C33"/>
    </sheetView>
  </sheetViews>
  <sheetFormatPr defaultColWidth="10.875" defaultRowHeight="15"/>
  <cols>
    <col min="1" max="1" width="10" style="2" customWidth="1"/>
    <col min="2" max="3" width="10.875" style="2"/>
    <col min="4" max="4" width="14.625" style="2" bestFit="1" customWidth="1"/>
    <col min="5" max="16384" width="10.875" style="2"/>
  </cols>
  <sheetData>
    <row r="1" spans="1:12" ht="25.5">
      <c r="A1" s="321" t="s">
        <v>86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+ROUND(B32,1)&amp;""""&amp;" "&amp;E32&amp;" Aspect Ratio"</f>
        <v>100" 1.78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customFormat="1" ht="15.75">
      <c r="K3" s="2"/>
    </row>
    <row r="4" spans="1:12" customFormat="1" ht="15.75">
      <c r="E4" s="157">
        <f>E33</f>
        <v>2870</v>
      </c>
      <c r="F4" s="158">
        <f>+E4/$E$37</f>
        <v>112.99212598425197</v>
      </c>
      <c r="K4" s="154">
        <f>+C37</f>
        <v>145</v>
      </c>
    </row>
    <row r="5" spans="1:12" s="94" customFormat="1" ht="19.5">
      <c r="A5" s="153"/>
      <c r="B5" s="153"/>
      <c r="C5" s="153"/>
      <c r="D5" s="153"/>
      <c r="G5" s="153"/>
      <c r="H5" s="153"/>
      <c r="I5" s="153"/>
      <c r="J5" s="153"/>
      <c r="K5" s="159">
        <f>+K4/$E$37</f>
        <v>5.7086614173228352</v>
      </c>
      <c r="L5" s="155"/>
    </row>
    <row r="6" spans="1:12" s="3" customFormat="1" ht="15.95" customHeight="1">
      <c r="A6" s="156"/>
      <c r="B6" s="156"/>
      <c r="C6" s="156"/>
      <c r="D6" s="156"/>
      <c r="G6" s="156"/>
      <c r="H6" s="156"/>
      <c r="I6" s="156"/>
      <c r="J6" s="156"/>
      <c r="L6" s="160"/>
    </row>
    <row r="7" spans="1:12">
      <c r="A7" s="161"/>
      <c r="B7" s="21"/>
      <c r="C7" s="21"/>
      <c r="D7" s="21"/>
      <c r="E7" s="21"/>
      <c r="F7" s="21"/>
      <c r="G7" s="21"/>
      <c r="H7" s="21"/>
      <c r="I7" s="21"/>
      <c r="J7" s="162">
        <f>+F33</f>
        <v>136</v>
      </c>
      <c r="K7" s="161"/>
      <c r="L7" s="161"/>
    </row>
    <row r="8" spans="1:12">
      <c r="A8" s="161"/>
      <c r="B8" s="21"/>
      <c r="C8" s="21"/>
      <c r="D8" s="21"/>
      <c r="E8" s="21"/>
      <c r="F8" s="21"/>
      <c r="G8" s="21"/>
      <c r="H8" s="21"/>
      <c r="I8" s="21"/>
      <c r="J8" s="163">
        <f>+J7/E37</f>
        <v>5.3543307086614176</v>
      </c>
      <c r="K8" s="21"/>
      <c r="L8" s="161"/>
    </row>
    <row r="9" spans="1:12">
      <c r="A9" s="161"/>
      <c r="B9" s="21"/>
      <c r="C9" s="21"/>
      <c r="D9" s="21"/>
      <c r="E9" s="21"/>
      <c r="F9" s="21"/>
      <c r="G9" s="21"/>
      <c r="H9" s="21"/>
      <c r="I9" s="21"/>
      <c r="K9" s="21"/>
      <c r="L9" s="161"/>
    </row>
    <row r="10" spans="1:12">
      <c r="A10" s="164">
        <f>+E34</f>
        <v>500</v>
      </c>
      <c r="B10" s="21"/>
      <c r="C10" s="21"/>
      <c r="D10" s="21"/>
      <c r="E10" s="21"/>
      <c r="F10" s="21"/>
      <c r="G10" s="21"/>
      <c r="H10" s="21"/>
      <c r="I10" s="21"/>
      <c r="J10" s="161"/>
      <c r="K10" s="21"/>
      <c r="L10" s="161"/>
    </row>
    <row r="11" spans="1:12">
      <c r="A11" s="165">
        <f>+A10/E37</f>
        <v>19.685039370078741</v>
      </c>
      <c r="B11" s="21"/>
      <c r="C11" s="21"/>
      <c r="D11" s="21"/>
      <c r="E11" s="21"/>
      <c r="F11" s="21"/>
      <c r="G11" s="21"/>
      <c r="H11" s="21"/>
      <c r="I11" s="21"/>
      <c r="J11" s="161"/>
      <c r="K11" s="21"/>
      <c r="L11" s="161"/>
    </row>
    <row r="12" spans="1:12">
      <c r="A12" s="16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161"/>
    </row>
    <row r="13" spans="1:12">
      <c r="A13" s="161"/>
      <c r="B13" s="21"/>
      <c r="C13" s="21"/>
      <c r="D13" s="161"/>
      <c r="E13" s="161"/>
      <c r="F13" s="21"/>
      <c r="G13" s="21"/>
      <c r="H13" s="21"/>
      <c r="I13" s="21"/>
      <c r="K13" s="21"/>
      <c r="L13" s="161"/>
    </row>
    <row r="14" spans="1:12">
      <c r="A14" s="21"/>
      <c r="B14" s="21"/>
      <c r="C14" s="21"/>
      <c r="D14" s="21"/>
      <c r="E14" s="154">
        <f>+C32</f>
        <v>2540</v>
      </c>
      <c r="F14" s="21"/>
      <c r="G14" s="21"/>
      <c r="H14" s="21"/>
      <c r="I14" s="21"/>
      <c r="K14" s="21"/>
      <c r="L14" s="161"/>
    </row>
    <row r="15" spans="1:12">
      <c r="B15" s="21"/>
      <c r="C15" s="21"/>
      <c r="D15" s="161"/>
      <c r="E15" s="166">
        <f>+E14/$E$37</f>
        <v>100</v>
      </c>
      <c r="F15" s="161"/>
      <c r="G15" s="21"/>
      <c r="H15" s="21"/>
      <c r="I15" s="21"/>
      <c r="J15" s="161"/>
      <c r="K15" s="21"/>
      <c r="L15" s="161"/>
    </row>
    <row r="16" spans="1:12">
      <c r="B16" s="21"/>
      <c r="C16" s="21"/>
      <c r="D16" s="161"/>
      <c r="F16" s="21"/>
      <c r="G16" s="21"/>
      <c r="H16" s="21"/>
      <c r="I16" s="21"/>
      <c r="J16" s="21"/>
      <c r="K16" s="21"/>
      <c r="L16" s="161"/>
    </row>
    <row r="17" spans="1:12">
      <c r="A17" s="21"/>
      <c r="B17" s="21"/>
      <c r="C17" s="21"/>
      <c r="D17" s="161"/>
      <c r="F17" s="21"/>
      <c r="G17" s="21"/>
      <c r="H17" s="21"/>
      <c r="I17" s="21"/>
      <c r="J17" s="167">
        <f>+C35</f>
        <v>2152.9662921348317</v>
      </c>
      <c r="K17" s="21"/>
      <c r="L17" s="168">
        <f>C18+A10</f>
        <v>1926.9662921348315</v>
      </c>
    </row>
    <row r="18" spans="1:12">
      <c r="B18" s="21"/>
      <c r="C18" s="167">
        <f>+C33</f>
        <v>1426.9662921348315</v>
      </c>
      <c r="D18" s="161"/>
      <c r="E18" s="21"/>
      <c r="F18" s="161"/>
      <c r="G18" s="21"/>
      <c r="H18" s="21"/>
      <c r="I18" s="21"/>
      <c r="J18" s="169">
        <f>+J17/$E$37</f>
        <v>84.762452446253221</v>
      </c>
      <c r="K18" s="21"/>
      <c r="L18" s="170">
        <f>+L17/$E$37</f>
        <v>75.864814650977621</v>
      </c>
    </row>
    <row r="19" spans="1:12">
      <c r="B19" s="21"/>
      <c r="C19" s="169">
        <f>+C18/$E$37</f>
        <v>56.17977528089888</v>
      </c>
      <c r="D19" s="21"/>
      <c r="E19" s="21"/>
      <c r="F19" s="161"/>
      <c r="G19" s="161"/>
      <c r="H19" s="21"/>
      <c r="I19" s="21"/>
      <c r="J19" s="21"/>
      <c r="K19" s="21"/>
      <c r="L19" s="161"/>
    </row>
    <row r="20" spans="1:12">
      <c r="A20" s="21"/>
      <c r="B20" s="21"/>
      <c r="C20" s="21"/>
      <c r="D20" s="21"/>
      <c r="E20" s="21"/>
      <c r="F20" s="167">
        <f>+C36</f>
        <v>2913.3885423830839</v>
      </c>
      <c r="G20" s="161"/>
      <c r="H20" s="21"/>
      <c r="I20" s="21"/>
      <c r="J20" s="21"/>
      <c r="K20" s="21"/>
      <c r="L20" s="161"/>
    </row>
    <row r="21" spans="1:12">
      <c r="A21" s="21"/>
      <c r="B21" s="21"/>
      <c r="C21" s="21"/>
      <c r="D21" s="21"/>
      <c r="E21" s="21"/>
      <c r="F21" s="169">
        <f>+F20/$E$37</f>
        <v>114.70033631429465</v>
      </c>
      <c r="G21" s="21"/>
      <c r="H21" s="21"/>
      <c r="I21" s="21"/>
      <c r="J21" s="21"/>
      <c r="K21" s="21"/>
      <c r="L21" s="161"/>
    </row>
    <row r="22" spans="1:12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161"/>
    </row>
    <row r="23" spans="1:12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161"/>
    </row>
    <row r="24" spans="1:1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161"/>
    </row>
    <row r="25" spans="1:12">
      <c r="A25" s="21"/>
      <c r="B25" s="21"/>
      <c r="C25" s="21"/>
      <c r="D25" s="21"/>
      <c r="E25" s="171"/>
      <c r="F25" s="21"/>
      <c r="G25" s="21"/>
      <c r="H25" s="21"/>
      <c r="I25" s="21"/>
      <c r="J25" s="21"/>
      <c r="K25" s="21"/>
      <c r="L25" s="161"/>
    </row>
    <row r="26" spans="1:12">
      <c r="A26" s="21"/>
      <c r="B26" s="21"/>
      <c r="C26" s="21"/>
      <c r="D26" s="21"/>
      <c r="E26" s="172"/>
      <c r="F26" s="21"/>
      <c r="G26" s="21"/>
      <c r="H26" s="21"/>
      <c r="I26" s="21"/>
      <c r="J26" s="21"/>
      <c r="K26" s="21"/>
      <c r="L26" s="161"/>
    </row>
    <row r="27" spans="1:12">
      <c r="A27" s="162">
        <f>J17-L17-J7</f>
        <v>90.000000000000227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161"/>
    </row>
    <row r="28" spans="1:12">
      <c r="A28" s="173">
        <f>J18-L18-J8</f>
        <v>3.543307086614182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161"/>
    </row>
    <row r="29" spans="1:12">
      <c r="A29" s="161"/>
      <c r="B29" s="21"/>
      <c r="C29" s="21"/>
      <c r="D29" s="21"/>
      <c r="E29" s="174"/>
      <c r="F29" s="159"/>
      <c r="G29" s="21"/>
      <c r="H29" s="21"/>
      <c r="I29" s="21"/>
      <c r="J29" s="21"/>
      <c r="K29" s="161"/>
      <c r="L29" s="161"/>
    </row>
    <row r="30" spans="1:12" ht="15.75" thickBot="1">
      <c r="A30" s="21"/>
      <c r="B30" s="21"/>
      <c r="C30" s="21"/>
      <c r="D30" s="21"/>
      <c r="G30" s="21"/>
      <c r="H30" s="21"/>
      <c r="I30" s="21"/>
      <c r="J30" s="21"/>
      <c r="K30" s="161"/>
      <c r="L30" s="161"/>
    </row>
    <row r="31" spans="1:12">
      <c r="A31" s="10"/>
      <c r="B31" s="11" t="s">
        <v>9</v>
      </c>
      <c r="C31" s="12" t="s">
        <v>10</v>
      </c>
      <c r="D31" s="13" t="s">
        <v>11</v>
      </c>
      <c r="E31" s="323" t="s">
        <v>76</v>
      </c>
      <c r="F31" s="324"/>
      <c r="G31" s="13" t="s">
        <v>12</v>
      </c>
      <c r="H31" s="325">
        <f ca="1">NOW()</f>
        <v>43166.556318402778</v>
      </c>
      <c r="I31" s="325"/>
      <c r="J31" s="325"/>
      <c r="K31" s="326"/>
    </row>
    <row r="32" spans="1:12">
      <c r="A32" s="149" t="s">
        <v>13</v>
      </c>
      <c r="B32" s="107">
        <f t="shared" ref="B32:B37" si="0">+C32/$E$37</f>
        <v>100</v>
      </c>
      <c r="C32" s="89">
        <v>2540</v>
      </c>
      <c r="D32" s="150" t="s">
        <v>14</v>
      </c>
      <c r="E32" s="327">
        <v>1.78</v>
      </c>
      <c r="F32" s="328"/>
      <c r="G32" s="17" t="s">
        <v>15</v>
      </c>
      <c r="H32" s="329"/>
      <c r="I32" s="329"/>
      <c r="J32" s="329"/>
      <c r="K32" s="330"/>
    </row>
    <row r="33" spans="1:11">
      <c r="A33" s="14" t="s">
        <v>16</v>
      </c>
      <c r="B33" s="107">
        <f t="shared" si="0"/>
        <v>56.17977528089888</v>
      </c>
      <c r="C33" s="53">
        <f>+C32/E32</f>
        <v>1426.9662921348315</v>
      </c>
      <c r="D33" s="17" t="s">
        <v>77</v>
      </c>
      <c r="E33" s="18">
        <f>C32+330</f>
        <v>2870</v>
      </c>
      <c r="F33" s="18">
        <v>136</v>
      </c>
      <c r="G33" s="17" t="s">
        <v>19</v>
      </c>
      <c r="H33" s="318"/>
      <c r="I33" s="319"/>
      <c r="J33" s="319"/>
      <c r="K33" s="320"/>
    </row>
    <row r="34" spans="1:11">
      <c r="A34" s="14" t="s">
        <v>20</v>
      </c>
      <c r="B34" s="107">
        <f t="shared" si="0"/>
        <v>112.99212598425197</v>
      </c>
      <c r="C34" s="54">
        <f>E33</f>
        <v>2870</v>
      </c>
      <c r="D34" s="17" t="s">
        <v>78</v>
      </c>
      <c r="E34" s="18">
        <v>500</v>
      </c>
      <c r="F34" s="108" t="s">
        <v>87</v>
      </c>
      <c r="G34" s="109"/>
      <c r="H34" s="196"/>
      <c r="I34" s="4"/>
      <c r="J34" s="4"/>
      <c r="K34" s="22"/>
    </row>
    <row r="35" spans="1:11">
      <c r="A35" s="14" t="s">
        <v>23</v>
      </c>
      <c r="B35" s="107">
        <f t="shared" si="0"/>
        <v>84.762452446253221</v>
      </c>
      <c r="C35" s="54">
        <f>+C33+J7+A10+90</f>
        <v>2152.9662921348317</v>
      </c>
      <c r="D35" s="23" t="s">
        <v>24</v>
      </c>
      <c r="E35" s="110" t="s">
        <v>79</v>
      </c>
      <c r="F35" s="353"/>
      <c r="G35" s="354"/>
      <c r="H35" s="354"/>
      <c r="I35" s="26"/>
      <c r="J35" s="26"/>
      <c r="K35" s="27"/>
    </row>
    <row r="36" spans="1:11">
      <c r="A36" s="14" t="s">
        <v>25</v>
      </c>
      <c r="B36" s="107">
        <f t="shared" si="0"/>
        <v>114.70033631429465</v>
      </c>
      <c r="C36" s="54">
        <f>SQRT((C32^2)+(C33^2))</f>
        <v>2913.3885423830839</v>
      </c>
      <c r="D36" s="23" t="s">
        <v>80</v>
      </c>
      <c r="E36" s="53">
        <f>C34</f>
        <v>2870</v>
      </c>
      <c r="F36" s="25" t="s">
        <v>81</v>
      </c>
      <c r="G36" s="26"/>
      <c r="H36" s="26"/>
      <c r="I36" s="26"/>
      <c r="J36" s="26"/>
      <c r="K36" s="27"/>
    </row>
    <row r="37" spans="1:11" ht="15.75" thickBot="1">
      <c r="A37" s="29" t="s">
        <v>27</v>
      </c>
      <c r="B37" s="111">
        <f t="shared" si="0"/>
        <v>5.7086614173228352</v>
      </c>
      <c r="C37" s="62">
        <v>145</v>
      </c>
      <c r="D37" s="32" t="s">
        <v>28</v>
      </c>
      <c r="E37" s="64">
        <v>25.4</v>
      </c>
      <c r="F37" s="34"/>
      <c r="G37" s="34"/>
      <c r="H37" s="34"/>
      <c r="I37" s="34"/>
      <c r="J37" s="34"/>
      <c r="K37" s="73" t="s">
        <v>66</v>
      </c>
    </row>
    <row r="39" spans="1:11" ht="15.95" customHeight="1">
      <c r="B39" s="123" t="s">
        <v>30</v>
      </c>
      <c r="C39" s="127"/>
      <c r="D39" s="132"/>
      <c r="E39" s="132"/>
      <c r="F39" s="127"/>
      <c r="G39" s="127"/>
      <c r="H39" s="127"/>
      <c r="I39" s="127"/>
      <c r="J39" s="127"/>
      <c r="K39" s="127"/>
    </row>
    <row r="40" spans="1:11" ht="6.95" customHeight="1">
      <c r="B40" s="125"/>
      <c r="C40" s="4"/>
      <c r="D40" s="26"/>
      <c r="E40" s="26"/>
      <c r="F40" s="4"/>
    </row>
    <row r="41" spans="1:11" ht="15.95" customHeight="1">
      <c r="B41" s="119"/>
      <c r="C41" s="133" t="s">
        <v>31</v>
      </c>
      <c r="D41" s="133" t="s">
        <v>9</v>
      </c>
      <c r="E41" s="133" t="s">
        <v>10</v>
      </c>
    </row>
    <row r="42" spans="1:11" ht="15.95" customHeight="1">
      <c r="B42" s="119" t="s">
        <v>32</v>
      </c>
      <c r="C42" s="122" t="s">
        <v>33</v>
      </c>
      <c r="D42" s="121">
        <v>160</v>
      </c>
      <c r="E42" s="121">
        <f>D42*25.4</f>
        <v>4064</v>
      </c>
      <c r="F42" s="4"/>
    </row>
    <row r="43" spans="1:11" ht="15.95" customHeight="1">
      <c r="B43" s="119" t="s">
        <v>34</v>
      </c>
      <c r="C43" s="122" t="s">
        <v>35</v>
      </c>
      <c r="D43" s="121">
        <v>160</v>
      </c>
      <c r="E43" s="121">
        <f>D43*25.4</f>
        <v>4064</v>
      </c>
      <c r="G43" s="4" t="s">
        <v>36</v>
      </c>
    </row>
    <row r="44" spans="1:11" ht="15.95" customHeight="1">
      <c r="B44" s="119"/>
      <c r="C44" s="122"/>
      <c r="D44" s="121"/>
      <c r="E44" s="121"/>
    </row>
    <row r="45" spans="1:11">
      <c r="B45" s="118" t="s">
        <v>37</v>
      </c>
      <c r="C45" s="127"/>
      <c r="D45" s="127"/>
      <c r="E45" s="127"/>
      <c r="F45" s="127"/>
      <c r="G45" s="127"/>
      <c r="H45" s="127"/>
      <c r="I45" s="127"/>
      <c r="J45" s="127"/>
      <c r="K45" s="127"/>
    </row>
    <row r="46" spans="1:11">
      <c r="B46" s="36" t="s">
        <v>82</v>
      </c>
      <c r="C46" s="36"/>
      <c r="D46" s="36"/>
      <c r="E46" s="36"/>
      <c r="F46" s="36"/>
      <c r="G46" s="36"/>
      <c r="H46" s="36"/>
    </row>
    <row r="47" spans="1:11">
      <c r="B47" s="36" t="s">
        <v>83</v>
      </c>
      <c r="C47" s="36"/>
      <c r="D47" s="36"/>
      <c r="E47" s="36"/>
      <c r="F47" s="36"/>
      <c r="G47" s="36"/>
      <c r="H47" s="36"/>
    </row>
    <row r="48" spans="1:11">
      <c r="B48" s="36"/>
      <c r="C48" s="36"/>
      <c r="D48" s="36"/>
      <c r="E48" s="36"/>
      <c r="F48" s="36"/>
      <c r="G48" s="36"/>
      <c r="H48" s="36"/>
    </row>
    <row r="49" spans="1:11">
      <c r="B49" s="118" t="s">
        <v>42</v>
      </c>
      <c r="C49" s="127"/>
      <c r="D49" s="127"/>
      <c r="E49" s="127"/>
      <c r="F49" s="127"/>
      <c r="G49" s="127"/>
      <c r="H49" s="127"/>
      <c r="I49" s="127"/>
      <c r="J49" s="127"/>
      <c r="K49" s="127"/>
    </row>
    <row r="50" spans="1:11">
      <c r="B50" s="2" t="s">
        <v>84</v>
      </c>
    </row>
    <row r="51" spans="1:11" ht="6.95" customHeight="1"/>
    <row r="52" spans="1:11">
      <c r="B52" s="2" t="s">
        <v>85</v>
      </c>
    </row>
    <row r="53" spans="1:11">
      <c r="B53" s="66">
        <f>+E33+100</f>
        <v>2970</v>
      </c>
      <c r="C53" s="2" t="s">
        <v>45</v>
      </c>
    </row>
    <row r="54" spans="1:11">
      <c r="B54" s="37">
        <v>350</v>
      </c>
      <c r="C54" s="2" t="s">
        <v>46</v>
      </c>
    </row>
    <row r="55" spans="1:11">
      <c r="B55" s="37">
        <v>250</v>
      </c>
      <c r="C55" s="2" t="s">
        <v>27</v>
      </c>
    </row>
    <row r="56" spans="1:11">
      <c r="B56" s="38"/>
    </row>
    <row r="60" spans="1:11" ht="19.5">
      <c r="A60" s="352" t="s">
        <v>88</v>
      </c>
      <c r="B60" s="352"/>
      <c r="C60" s="352"/>
      <c r="D60" s="352"/>
      <c r="E60" s="352"/>
      <c r="F60" s="352"/>
      <c r="G60" s="352"/>
      <c r="H60" s="352"/>
      <c r="I60" s="352"/>
      <c r="J60" s="352"/>
      <c r="K60" s="352"/>
    </row>
    <row r="63" spans="1:11">
      <c r="C63" s="2">
        <v>155</v>
      </c>
    </row>
    <row r="66" spans="2:11" ht="18">
      <c r="H66" s="188"/>
    </row>
    <row r="67" spans="2:11">
      <c r="C67" s="2">
        <v>145</v>
      </c>
    </row>
    <row r="69" spans="2:11" ht="18.75">
      <c r="K69" s="189"/>
    </row>
    <row r="70" spans="2:11" ht="18.75">
      <c r="K70" s="189"/>
    </row>
    <row r="71" spans="2:11" ht="18.75">
      <c r="B71" s="190">
        <v>136</v>
      </c>
      <c r="K71" s="189"/>
    </row>
    <row r="72" spans="2:11" ht="18.75">
      <c r="K72" s="189"/>
    </row>
    <row r="76" spans="2:11">
      <c r="C76" s="2">
        <v>175</v>
      </c>
    </row>
  </sheetData>
  <mergeCells count="9">
    <mergeCell ref="A60:K60"/>
    <mergeCell ref="H33:K33"/>
    <mergeCell ref="F35:H35"/>
    <mergeCell ref="A1:K1"/>
    <mergeCell ref="A2:K2"/>
    <mergeCell ref="E31:F31"/>
    <mergeCell ref="H31:K31"/>
    <mergeCell ref="E32:F32"/>
    <mergeCell ref="H32:K32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/>
  <rowBreaks count="1" manualBreakCount="1">
    <brk id="56" max="11" man="1"/>
  </rowBreaks>
  <colBreaks count="1" manualBreakCount="1">
    <brk id="11" max="81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53"/>
  <sheetViews>
    <sheetView showGridLines="0" tabSelected="1" topLeftCell="A47" zoomScale="130" zoomScaleNormal="130" zoomScalePageLayoutView="130" workbookViewId="0">
      <selection activeCell="L62" sqref="L62"/>
    </sheetView>
  </sheetViews>
  <sheetFormatPr defaultColWidth="10.875" defaultRowHeight="15"/>
  <cols>
    <col min="1" max="1" width="10" style="2" customWidth="1"/>
    <col min="2" max="3" width="10.875" style="2"/>
    <col min="4" max="4" width="14.625" style="2" bestFit="1" customWidth="1"/>
    <col min="5" max="16384" width="10.875" style="2"/>
  </cols>
  <sheetData>
    <row r="1" spans="1:12" ht="25.5">
      <c r="A1" s="321" t="s">
        <v>152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+ROUND(B30,1)&amp;""""&amp;" "&amp;E30&amp;" Aspect Ratio"</f>
        <v>78.7" 1.78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s="94" customFormat="1" ht="19.5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5">
        <f>+C35</f>
        <v>148</v>
      </c>
    </row>
    <row r="4" spans="1:12" s="3" customFormat="1" ht="15.95" customHeight="1">
      <c r="A4" s="300"/>
      <c r="B4" s="300"/>
      <c r="C4" s="300"/>
      <c r="D4" s="300"/>
      <c r="E4" s="78">
        <f>E31</f>
        <v>2564</v>
      </c>
      <c r="F4" s="95">
        <f>+E4/$E$35</f>
        <v>100.94488188976379</v>
      </c>
      <c r="G4" s="300"/>
      <c r="H4" s="300"/>
      <c r="I4" s="300"/>
      <c r="J4" s="300"/>
      <c r="K4" s="96">
        <f>+K3/$E$35</f>
        <v>5.8267716535433074</v>
      </c>
    </row>
    <row r="5" spans="1:12">
      <c r="B5" s="4"/>
      <c r="C5" s="4"/>
      <c r="D5" s="4"/>
      <c r="E5" s="4"/>
      <c r="F5" s="4"/>
      <c r="G5" s="4"/>
      <c r="H5" s="4"/>
      <c r="I5" s="4"/>
      <c r="J5" s="4"/>
    </row>
    <row r="6" spans="1:12">
      <c r="B6" s="21"/>
      <c r="C6" s="21"/>
      <c r="D6" s="4"/>
      <c r="E6" s="4"/>
      <c r="F6" s="4"/>
      <c r="G6" s="4"/>
      <c r="H6" s="21"/>
      <c r="I6" s="21"/>
      <c r="J6" s="97">
        <f>+F31</f>
        <v>140</v>
      </c>
      <c r="K6" s="4"/>
    </row>
    <row r="7" spans="1:12">
      <c r="B7" s="306"/>
      <c r="C7" s="306"/>
      <c r="D7" s="306"/>
      <c r="E7" s="306"/>
      <c r="F7" s="306"/>
      <c r="G7" s="306"/>
      <c r="H7" s="306"/>
      <c r="I7" s="306"/>
      <c r="J7" s="98">
        <f>+J6/E35</f>
        <v>5.5118110236220472</v>
      </c>
      <c r="K7" s="4"/>
    </row>
    <row r="8" spans="1:12">
      <c r="A8" s="99">
        <f>+E32</f>
        <v>1000</v>
      </c>
      <c r="B8" s="306"/>
      <c r="C8" s="306"/>
      <c r="D8" s="306"/>
      <c r="E8" s="306"/>
      <c r="F8" s="306"/>
      <c r="G8" s="306"/>
      <c r="H8" s="306"/>
      <c r="I8" s="306"/>
      <c r="K8" s="4"/>
    </row>
    <row r="9" spans="1:12">
      <c r="A9" s="100">
        <f>+A8/E35</f>
        <v>39.370078740157481</v>
      </c>
      <c r="B9" s="306"/>
      <c r="C9" s="306"/>
      <c r="D9" s="306"/>
      <c r="E9" s="306"/>
      <c r="F9" s="306"/>
      <c r="G9" s="306"/>
      <c r="H9" s="306"/>
      <c r="I9" s="306"/>
      <c r="K9" s="4"/>
    </row>
    <row r="10" spans="1:12">
      <c r="B10" s="21"/>
      <c r="C10" s="21"/>
      <c r="D10" s="4"/>
      <c r="E10" s="4"/>
      <c r="F10" s="4"/>
      <c r="G10" s="4"/>
      <c r="H10" s="21"/>
      <c r="I10" s="21"/>
      <c r="J10" s="4"/>
      <c r="K10" s="4"/>
    </row>
    <row r="11" spans="1:12">
      <c r="B11" s="21"/>
      <c r="C11" s="21"/>
      <c r="E11" s="305">
        <f>+C30</f>
        <v>2000</v>
      </c>
      <c r="F11" s="4"/>
      <c r="G11" s="4"/>
      <c r="H11" s="21"/>
      <c r="I11" s="21"/>
      <c r="J11" s="4"/>
      <c r="K11" s="4"/>
    </row>
    <row r="12" spans="1:12">
      <c r="A12" s="4"/>
      <c r="B12" s="21"/>
      <c r="C12" s="21"/>
      <c r="D12" s="4"/>
      <c r="E12" s="101">
        <f>+E11/$E$35</f>
        <v>78.740157480314963</v>
      </c>
      <c r="F12" s="4"/>
      <c r="G12" s="4"/>
      <c r="H12" s="21"/>
      <c r="I12" s="21"/>
      <c r="J12" s="4"/>
      <c r="K12" s="4"/>
    </row>
    <row r="13" spans="1:12">
      <c r="A13" s="4"/>
      <c r="B13" s="21"/>
      <c r="C13" s="21"/>
      <c r="E13" s="4"/>
      <c r="G13" s="4"/>
      <c r="H13" s="21"/>
      <c r="I13" s="21"/>
      <c r="K13" s="4"/>
    </row>
    <row r="14" spans="1:12">
      <c r="A14" s="4"/>
      <c r="B14" s="21"/>
      <c r="C14" s="21"/>
      <c r="E14" s="4"/>
      <c r="F14" s="6"/>
      <c r="G14" s="4"/>
      <c r="H14" s="21"/>
      <c r="I14" s="21"/>
      <c r="J14" s="4"/>
      <c r="K14" s="4"/>
    </row>
    <row r="15" spans="1:12">
      <c r="A15" s="4"/>
      <c r="B15" s="21"/>
      <c r="C15" s="21"/>
      <c r="D15" s="305">
        <f>+C31</f>
        <v>1123.5955056179776</v>
      </c>
      <c r="E15" s="4"/>
      <c r="F15" s="4"/>
      <c r="G15" s="4"/>
      <c r="H15" s="21"/>
      <c r="I15" s="21"/>
      <c r="J15" s="7">
        <f>+C33</f>
        <v>2333.5955056179773</v>
      </c>
      <c r="K15" s="4"/>
      <c r="L15" s="102">
        <f>D15+A8+A25</f>
        <v>2198.5955056179773</v>
      </c>
    </row>
    <row r="16" spans="1:12">
      <c r="A16" s="4"/>
      <c r="B16" s="21"/>
      <c r="C16" s="21"/>
      <c r="D16" s="95">
        <f>+D15/$E$35</f>
        <v>44.236043528266833</v>
      </c>
      <c r="E16" s="4"/>
      <c r="G16" s="4"/>
      <c r="H16" s="21"/>
      <c r="I16" s="21"/>
      <c r="J16" s="101">
        <f>+J15/$E$35</f>
        <v>91.873838803857382</v>
      </c>
      <c r="K16" s="4"/>
      <c r="L16" s="103">
        <f>+L15/$E$35</f>
        <v>86.558878173936122</v>
      </c>
    </row>
    <row r="17" spans="1:11">
      <c r="A17" s="4"/>
      <c r="B17" s="21"/>
      <c r="C17" s="21"/>
      <c r="D17" s="4"/>
      <c r="E17" s="4"/>
      <c r="H17" s="21"/>
      <c r="I17" s="21"/>
      <c r="J17" s="4"/>
      <c r="K17" s="4"/>
    </row>
    <row r="18" spans="1:11">
      <c r="A18" s="4"/>
      <c r="B18" s="21"/>
      <c r="C18" s="21"/>
      <c r="D18" s="4"/>
      <c r="E18" s="4"/>
      <c r="F18" s="305">
        <f>+C34</f>
        <v>2294.0067262858929</v>
      </c>
      <c r="H18" s="21"/>
      <c r="I18" s="21"/>
      <c r="J18" s="4"/>
      <c r="K18" s="4"/>
    </row>
    <row r="19" spans="1:11">
      <c r="A19" s="4"/>
      <c r="B19" s="21"/>
      <c r="C19" s="21"/>
      <c r="D19" s="4"/>
      <c r="E19" s="4"/>
      <c r="F19" s="95">
        <f>+F18/$E$35</f>
        <v>90.315225444326501</v>
      </c>
      <c r="G19" s="4"/>
      <c r="H19" s="21"/>
      <c r="I19" s="21"/>
      <c r="J19" s="4"/>
      <c r="K19" s="4"/>
    </row>
    <row r="20" spans="1:11">
      <c r="A20" s="4"/>
      <c r="B20" s="21"/>
      <c r="C20" s="21"/>
      <c r="D20" s="4"/>
      <c r="E20" s="4"/>
      <c r="F20" s="4"/>
      <c r="G20" s="4"/>
      <c r="H20" s="21"/>
      <c r="I20" s="21"/>
      <c r="J20" s="4"/>
      <c r="K20" s="4"/>
    </row>
    <row r="21" spans="1:11">
      <c r="A21" s="4"/>
      <c r="B21" s="21"/>
      <c r="C21" s="21"/>
      <c r="D21" s="4"/>
      <c r="E21" s="4"/>
      <c r="F21" s="4"/>
      <c r="G21" s="4"/>
      <c r="H21" s="21"/>
      <c r="I21" s="21"/>
      <c r="J21" s="4"/>
      <c r="K21" s="4"/>
    </row>
    <row r="22" spans="1:11">
      <c r="A22" s="4"/>
      <c r="B22" s="21"/>
      <c r="C22" s="21"/>
      <c r="D22" s="4"/>
      <c r="E22" s="4"/>
      <c r="F22" s="4"/>
      <c r="G22" s="4"/>
      <c r="H22" s="21"/>
      <c r="I22" s="21"/>
      <c r="J22" s="4"/>
      <c r="K22" s="4"/>
    </row>
    <row r="23" spans="1:11">
      <c r="A23" s="4"/>
      <c r="B23" s="21"/>
      <c r="C23" s="21"/>
      <c r="D23" s="4"/>
      <c r="E23" s="8"/>
      <c r="F23" s="4"/>
      <c r="G23" s="4"/>
      <c r="H23" s="21"/>
      <c r="I23" s="21"/>
      <c r="J23" s="4"/>
      <c r="K23" s="4"/>
    </row>
    <row r="24" spans="1:11">
      <c r="A24" s="4"/>
      <c r="B24" s="21"/>
      <c r="C24" s="21"/>
      <c r="D24" s="4"/>
      <c r="E24" s="9"/>
      <c r="F24" s="4"/>
      <c r="G24" s="4"/>
      <c r="H24" s="21"/>
      <c r="I24" s="21"/>
      <c r="J24" s="4"/>
      <c r="K24" s="4"/>
    </row>
    <row r="25" spans="1:11">
      <c r="A25" s="99">
        <v>75</v>
      </c>
      <c r="B25" s="21"/>
      <c r="C25" s="21"/>
      <c r="D25" s="4"/>
      <c r="E25" s="4"/>
      <c r="F25" s="4"/>
      <c r="G25" s="4"/>
      <c r="H25" s="21"/>
      <c r="I25" s="21"/>
      <c r="J25" s="4"/>
      <c r="K25" s="4"/>
    </row>
    <row r="26" spans="1:11">
      <c r="A26" s="308">
        <f>A25/E35</f>
        <v>2.9527559055118111</v>
      </c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11">
      <c r="B27" s="4"/>
      <c r="C27" s="4"/>
      <c r="D27" s="4"/>
      <c r="E27" s="4"/>
      <c r="F27" s="4"/>
      <c r="G27" s="4"/>
      <c r="H27" s="4"/>
      <c r="I27" s="4"/>
      <c r="J27" s="4"/>
    </row>
    <row r="28" spans="1:11" ht="38.1" customHeight="1" thickBot="1">
      <c r="A28" s="4"/>
      <c r="B28" s="4"/>
      <c r="C28" s="4"/>
      <c r="D28" s="4"/>
      <c r="E28" s="106">
        <f>+E34</f>
        <v>2322</v>
      </c>
      <c r="F28" s="96">
        <f>+E28/$E$35</f>
        <v>91.417322834645674</v>
      </c>
      <c r="G28" s="4"/>
      <c r="H28" s="4"/>
      <c r="I28" s="4"/>
      <c r="J28" s="4"/>
    </row>
    <row r="29" spans="1:11">
      <c r="A29" s="10"/>
      <c r="B29" s="11" t="s">
        <v>9</v>
      </c>
      <c r="C29" s="12" t="s">
        <v>10</v>
      </c>
      <c r="D29" s="13" t="s">
        <v>11</v>
      </c>
      <c r="E29" s="323" t="s">
        <v>153</v>
      </c>
      <c r="F29" s="324"/>
      <c r="G29" s="13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49" t="s">
        <v>13</v>
      </c>
      <c r="B30" s="107">
        <f t="shared" ref="B30:B35" si="0">+C30/$E$35</f>
        <v>78.740157480314963</v>
      </c>
      <c r="C30" s="89">
        <v>2000</v>
      </c>
      <c r="D30" s="150" t="s">
        <v>14</v>
      </c>
      <c r="E30" s="327">
        <v>1.78</v>
      </c>
      <c r="F30" s="32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107">
        <f t="shared" si="0"/>
        <v>44.236043528266833</v>
      </c>
      <c r="C31" s="18">
        <f>+C30/E30</f>
        <v>1123.5955056179776</v>
      </c>
      <c r="D31" s="17" t="s">
        <v>77</v>
      </c>
      <c r="E31" s="18">
        <f>C30+564</f>
        <v>2564</v>
      </c>
      <c r="F31" s="18">
        <v>140</v>
      </c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107">
        <f t="shared" si="0"/>
        <v>100.94488188976379</v>
      </c>
      <c r="C32" s="19">
        <f>E31</f>
        <v>2564</v>
      </c>
      <c r="D32" s="17" t="s">
        <v>78</v>
      </c>
      <c r="E32" s="18">
        <v>1000</v>
      </c>
      <c r="F32" s="108" t="s">
        <v>90</v>
      </c>
      <c r="G32" s="109"/>
      <c r="H32" s="303"/>
      <c r="I32" s="4"/>
      <c r="J32" s="4"/>
      <c r="K32" s="22"/>
    </row>
    <row r="33" spans="1:11">
      <c r="A33" s="14" t="s">
        <v>23</v>
      </c>
      <c r="B33" s="107">
        <f t="shared" si="0"/>
        <v>91.873838803857382</v>
      </c>
      <c r="C33" s="19">
        <f>+C31+J6+A8+70</f>
        <v>2333.5955056179773</v>
      </c>
      <c r="D33" s="23" t="s">
        <v>24</v>
      </c>
      <c r="E33" s="110" t="s">
        <v>79</v>
      </c>
      <c r="F33" s="353" t="s">
        <v>154</v>
      </c>
      <c r="G33" s="354"/>
      <c r="H33" s="354"/>
      <c r="I33" s="26"/>
      <c r="J33" s="26"/>
      <c r="K33" s="27"/>
    </row>
    <row r="34" spans="1:11">
      <c r="A34" s="14" t="s">
        <v>25</v>
      </c>
      <c r="B34" s="107">
        <f t="shared" si="0"/>
        <v>90.315225444326501</v>
      </c>
      <c r="C34" s="19">
        <f>SQRT((C30^2)+(C31^2))</f>
        <v>2294.0067262858929</v>
      </c>
      <c r="D34" s="23" t="s">
        <v>80</v>
      </c>
      <c r="E34" s="53">
        <f>322+C30</f>
        <v>2322</v>
      </c>
      <c r="F34" s="25" t="s">
        <v>158</v>
      </c>
      <c r="G34" s="26"/>
      <c r="H34" s="26"/>
      <c r="I34" s="26"/>
      <c r="J34" s="26"/>
      <c r="K34" s="27"/>
    </row>
    <row r="35" spans="1:11" ht="15.75" thickBot="1">
      <c r="A35" s="29" t="s">
        <v>27</v>
      </c>
      <c r="B35" s="111">
        <f t="shared" si="0"/>
        <v>5.8267716535433074</v>
      </c>
      <c r="C35" s="75">
        <v>148</v>
      </c>
      <c r="D35" s="32" t="s">
        <v>28</v>
      </c>
      <c r="E35" s="64">
        <v>25.4</v>
      </c>
      <c r="F35" s="34"/>
      <c r="G35" s="34"/>
      <c r="H35" s="34"/>
      <c r="I35" s="34"/>
      <c r="J35" s="34"/>
      <c r="K35" s="73" t="s">
        <v>66</v>
      </c>
    </row>
    <row r="37" spans="1:1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ht="15.95" customHeight="1">
      <c r="B40" s="119" t="s">
        <v>32</v>
      </c>
      <c r="C40" s="122" t="s">
        <v>33</v>
      </c>
      <c r="D40" s="121">
        <v>140</v>
      </c>
      <c r="E40" s="121">
        <f>D40*25.4</f>
        <v>3556</v>
      </c>
      <c r="F40" s="4"/>
    </row>
    <row r="41" spans="1:11" ht="15.95" customHeight="1">
      <c r="B41" s="119" t="s">
        <v>34</v>
      </c>
      <c r="C41" s="122" t="s">
        <v>35</v>
      </c>
      <c r="D41" s="121">
        <v>160</v>
      </c>
      <c r="E41" s="121">
        <f>D41*25.4</f>
        <v>4064</v>
      </c>
      <c r="G41" s="4" t="s">
        <v>36</v>
      </c>
    </row>
    <row r="43" spans="1:11">
      <c r="B43" s="118" t="s">
        <v>37</v>
      </c>
      <c r="C43" s="127"/>
      <c r="D43" s="127"/>
      <c r="E43" s="127"/>
      <c r="F43" s="127"/>
      <c r="G43" s="127"/>
      <c r="H43" s="127"/>
      <c r="I43" s="127"/>
      <c r="J43" s="127"/>
      <c r="K43" s="127"/>
    </row>
    <row r="44" spans="1:11">
      <c r="B44" s="36" t="s">
        <v>159</v>
      </c>
      <c r="C44" s="36"/>
      <c r="D44" s="36"/>
      <c r="E44" s="36"/>
      <c r="F44" s="36"/>
      <c r="G44" s="36"/>
      <c r="H44" s="36"/>
    </row>
    <row r="45" spans="1:11">
      <c r="B45" s="36"/>
      <c r="C45" s="36"/>
      <c r="D45" s="36"/>
      <c r="E45" s="36"/>
      <c r="F45" s="36"/>
      <c r="G45" s="36"/>
      <c r="H45" s="36"/>
    </row>
    <row r="46" spans="1:11">
      <c r="B46" s="118" t="s">
        <v>42</v>
      </c>
      <c r="C46" s="127"/>
      <c r="D46" s="127"/>
      <c r="E46" s="127"/>
      <c r="F46" s="127"/>
      <c r="G46" s="127"/>
      <c r="H46" s="127"/>
      <c r="I46" s="127"/>
      <c r="J46" s="127"/>
      <c r="K46" s="127"/>
    </row>
    <row r="47" spans="1:11">
      <c r="B47" s="2" t="s">
        <v>92</v>
      </c>
    </row>
    <row r="49" spans="2:3">
      <c r="B49" s="2" t="s">
        <v>85</v>
      </c>
    </row>
    <row r="50" spans="2:3">
      <c r="B50" s="66">
        <f>+E31+100</f>
        <v>2664</v>
      </c>
      <c r="C50" s="2" t="s">
        <v>45</v>
      </c>
    </row>
    <row r="51" spans="2:3">
      <c r="B51" s="37">
        <v>350</v>
      </c>
      <c r="C51" s="2" t="s">
        <v>46</v>
      </c>
    </row>
    <row r="52" spans="2:3">
      <c r="B52" s="37">
        <v>250</v>
      </c>
      <c r="C52" s="2" t="s">
        <v>27</v>
      </c>
    </row>
    <row r="53" spans="2:3">
      <c r="B53" s="38"/>
    </row>
  </sheetData>
  <mergeCells count="8">
    <mergeCell ref="H31:K31"/>
    <mergeCell ref="F33:H33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53"/>
  <sheetViews>
    <sheetView showGridLines="0" topLeftCell="A47" workbookViewId="0">
      <selection activeCell="E33" sqref="E33"/>
    </sheetView>
  </sheetViews>
  <sheetFormatPr defaultColWidth="10.875" defaultRowHeight="15"/>
  <cols>
    <col min="1" max="1" width="10" style="2" customWidth="1"/>
    <col min="2" max="3" width="10.875" style="2"/>
    <col min="4" max="4" width="14.625" style="2" bestFit="1" customWidth="1"/>
    <col min="5" max="16384" width="10.875" style="2"/>
  </cols>
  <sheetData>
    <row r="1" spans="1:12" ht="25.5">
      <c r="A1" s="321" t="s">
        <v>89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+ROUND(B30,1)&amp;""""&amp;" "&amp;E30&amp;" Aspect Ratio"</f>
        <v>100" 1.78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s="94" customFormat="1" ht="19.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9">
        <f>+C35</f>
        <v>140</v>
      </c>
    </row>
    <row r="4" spans="1:12" s="3" customFormat="1" ht="15.95" customHeight="1">
      <c r="A4" s="193"/>
      <c r="B4" s="193"/>
      <c r="C4" s="193"/>
      <c r="D4" s="193"/>
      <c r="E4" s="78">
        <f>E31</f>
        <v>2890</v>
      </c>
      <c r="F4" s="95">
        <f>+E4/$E$35</f>
        <v>113.77952755905513</v>
      </c>
      <c r="G4" s="193"/>
      <c r="H4" s="193"/>
      <c r="I4" s="193"/>
      <c r="J4" s="193"/>
      <c r="K4" s="96">
        <f>+K3/$E$35</f>
        <v>5.5118110236220472</v>
      </c>
    </row>
    <row r="5" spans="1:12">
      <c r="B5" s="4"/>
      <c r="C5" s="4"/>
      <c r="D5" s="4"/>
      <c r="E5" s="4"/>
      <c r="F5" s="4"/>
      <c r="G5" s="4"/>
      <c r="H5" s="4"/>
      <c r="I5" s="4"/>
      <c r="J5" s="4"/>
    </row>
    <row r="6" spans="1:12">
      <c r="B6" s="21"/>
      <c r="C6" s="21"/>
      <c r="D6" s="4"/>
      <c r="E6" s="4"/>
      <c r="F6" s="4"/>
      <c r="G6" s="4"/>
      <c r="H6" s="21"/>
      <c r="I6" s="21"/>
      <c r="J6" s="97">
        <f>+F31</f>
        <v>147</v>
      </c>
      <c r="K6" s="4"/>
    </row>
    <row r="7" spans="1:12">
      <c r="B7" s="76"/>
      <c r="C7" s="76"/>
      <c r="D7" s="76"/>
      <c r="E7" s="76"/>
      <c r="F7" s="76"/>
      <c r="G7" s="76"/>
      <c r="H7" s="76"/>
      <c r="I7" s="76"/>
      <c r="J7" s="98">
        <f>+J6/E35</f>
        <v>5.78740157480315</v>
      </c>
      <c r="K7" s="4"/>
    </row>
    <row r="8" spans="1:12">
      <c r="A8" s="99">
        <f>+E32</f>
        <v>600</v>
      </c>
      <c r="B8" s="76"/>
      <c r="C8" s="76"/>
      <c r="D8" s="76"/>
      <c r="E8" s="76"/>
      <c r="F8" s="76"/>
      <c r="G8" s="76"/>
      <c r="H8" s="76"/>
      <c r="I8" s="76"/>
      <c r="K8" s="4"/>
    </row>
    <row r="9" spans="1:12">
      <c r="A9" s="100">
        <f>+A8/E35</f>
        <v>23.622047244094489</v>
      </c>
      <c r="B9" s="21"/>
      <c r="C9" s="21"/>
      <c r="D9" s="4"/>
      <c r="E9" s="4"/>
      <c r="F9" s="4"/>
      <c r="G9" s="4"/>
      <c r="H9" s="21"/>
      <c r="I9" s="21"/>
      <c r="K9" s="4"/>
    </row>
    <row r="10" spans="1:12">
      <c r="B10" s="21"/>
      <c r="C10" s="21"/>
      <c r="D10" s="4"/>
      <c r="E10" s="4"/>
      <c r="F10" s="4"/>
      <c r="G10" s="4"/>
      <c r="H10" s="21"/>
      <c r="I10" s="21"/>
      <c r="J10" s="4"/>
      <c r="K10" s="4"/>
    </row>
    <row r="11" spans="1:12">
      <c r="B11" s="21"/>
      <c r="C11" s="21"/>
      <c r="E11" s="199">
        <f>+C30</f>
        <v>2540</v>
      </c>
      <c r="F11" s="4"/>
      <c r="G11" s="4"/>
      <c r="H11" s="21"/>
      <c r="I11" s="21"/>
      <c r="J11" s="4"/>
      <c r="K11" s="4"/>
    </row>
    <row r="12" spans="1:12">
      <c r="A12" s="4"/>
      <c r="B12" s="21"/>
      <c r="C12" s="21"/>
      <c r="D12" s="4"/>
      <c r="E12" s="101">
        <f>+E11/$E$35</f>
        <v>100</v>
      </c>
      <c r="F12" s="4"/>
      <c r="G12" s="4"/>
      <c r="H12" s="21"/>
      <c r="I12" s="21"/>
      <c r="J12" s="4"/>
      <c r="K12" s="4"/>
    </row>
    <row r="13" spans="1:12">
      <c r="A13" s="4"/>
      <c r="B13" s="21"/>
      <c r="C13" s="21"/>
      <c r="E13" s="4"/>
      <c r="G13" s="4"/>
      <c r="H13" s="21"/>
      <c r="I13" s="21"/>
      <c r="K13" s="4"/>
    </row>
    <row r="14" spans="1:12">
      <c r="A14" s="4"/>
      <c r="B14" s="21"/>
      <c r="C14" s="21"/>
      <c r="E14" s="4"/>
      <c r="F14" s="6"/>
      <c r="G14" s="4"/>
      <c r="H14" s="21"/>
      <c r="I14" s="21"/>
      <c r="J14" s="4"/>
      <c r="K14" s="4"/>
    </row>
    <row r="15" spans="1:12">
      <c r="A15" s="4"/>
      <c r="B15" s="21"/>
      <c r="C15" s="21"/>
      <c r="D15" s="199">
        <f>+C31</f>
        <v>1426.9662921348315</v>
      </c>
      <c r="E15" s="4"/>
      <c r="F15" s="4"/>
      <c r="G15" s="4"/>
      <c r="H15" s="21"/>
      <c r="I15" s="21"/>
      <c r="J15" s="7">
        <f>+C33</f>
        <v>2243.9662921348317</v>
      </c>
      <c r="K15" s="4"/>
      <c r="L15" s="102">
        <f>D15+A8+A25</f>
        <v>2096.9662921348317</v>
      </c>
    </row>
    <row r="16" spans="1:12">
      <c r="A16" s="4"/>
      <c r="B16" s="21"/>
      <c r="C16" s="21"/>
      <c r="D16" s="95">
        <f>+D15/$E$35</f>
        <v>56.17977528089888</v>
      </c>
      <c r="E16" s="4"/>
      <c r="G16" s="4"/>
      <c r="H16" s="21"/>
      <c r="I16" s="21"/>
      <c r="J16" s="101">
        <f>+J15/$E$35</f>
        <v>88.345129611607561</v>
      </c>
      <c r="K16" s="4"/>
      <c r="L16" s="103">
        <f>+L15/$E$35</f>
        <v>82.557728036804406</v>
      </c>
    </row>
    <row r="17" spans="1:11">
      <c r="A17" s="4"/>
      <c r="B17" s="21"/>
      <c r="C17" s="21"/>
      <c r="D17" s="4"/>
      <c r="E17" s="4"/>
      <c r="H17" s="21"/>
      <c r="I17" s="21"/>
      <c r="J17" s="4"/>
      <c r="K17" s="4"/>
    </row>
    <row r="18" spans="1:11">
      <c r="A18" s="4"/>
      <c r="B18" s="21"/>
      <c r="C18" s="21"/>
      <c r="D18" s="4"/>
      <c r="E18" s="4"/>
      <c r="F18" s="199">
        <f>+C34</f>
        <v>2913.3885423830839</v>
      </c>
      <c r="H18" s="21"/>
      <c r="I18" s="21"/>
      <c r="J18" s="4"/>
      <c r="K18" s="4"/>
    </row>
    <row r="19" spans="1:11">
      <c r="A19" s="4"/>
      <c r="B19" s="21"/>
      <c r="C19" s="21"/>
      <c r="D19" s="4"/>
      <c r="E19" s="4"/>
      <c r="F19" s="95">
        <f>+F18/$E$35</f>
        <v>114.70033631429465</v>
      </c>
      <c r="G19" s="4"/>
      <c r="H19" s="21"/>
      <c r="I19" s="21"/>
      <c r="J19" s="4"/>
      <c r="K19" s="4"/>
    </row>
    <row r="20" spans="1:11">
      <c r="A20" s="4"/>
      <c r="B20" s="21"/>
      <c r="C20" s="21"/>
      <c r="D20" s="4"/>
      <c r="E20" s="4"/>
      <c r="F20" s="4"/>
      <c r="G20" s="4"/>
      <c r="H20" s="21"/>
      <c r="I20" s="21"/>
      <c r="J20" s="4"/>
      <c r="K20" s="4"/>
    </row>
    <row r="21" spans="1:11">
      <c r="A21" s="4"/>
      <c r="B21" s="21"/>
      <c r="C21" s="21"/>
      <c r="D21" s="4"/>
      <c r="E21" s="4"/>
      <c r="F21" s="4"/>
      <c r="G21" s="4"/>
      <c r="H21" s="21"/>
      <c r="I21" s="21"/>
      <c r="J21" s="4"/>
      <c r="K21" s="4"/>
    </row>
    <row r="22" spans="1:11">
      <c r="A22" s="4"/>
      <c r="B22" s="21"/>
      <c r="C22" s="21"/>
      <c r="D22" s="4"/>
      <c r="E22" s="4"/>
      <c r="F22" s="4"/>
      <c r="G22" s="4"/>
      <c r="H22" s="21"/>
      <c r="I22" s="21"/>
      <c r="J22" s="4"/>
      <c r="K22" s="4"/>
    </row>
    <row r="23" spans="1:11">
      <c r="A23" s="4"/>
      <c r="B23" s="21"/>
      <c r="C23" s="21"/>
      <c r="D23" s="4"/>
      <c r="E23" s="8"/>
      <c r="F23" s="4"/>
      <c r="G23" s="4"/>
      <c r="H23" s="21"/>
      <c r="I23" s="21"/>
      <c r="J23" s="4"/>
      <c r="K23" s="4"/>
    </row>
    <row r="24" spans="1:11">
      <c r="A24" s="4"/>
      <c r="B24" s="21"/>
      <c r="C24" s="21"/>
      <c r="D24" s="4"/>
      <c r="E24" s="9"/>
      <c r="F24" s="4"/>
      <c r="G24" s="4"/>
      <c r="H24" s="21"/>
      <c r="I24" s="21"/>
      <c r="J24" s="4"/>
      <c r="K24" s="4"/>
    </row>
    <row r="25" spans="1:11">
      <c r="A25" s="104">
        <v>70</v>
      </c>
      <c r="B25" s="21"/>
      <c r="C25" s="21"/>
      <c r="D25" s="4"/>
      <c r="E25" s="4"/>
      <c r="F25" s="4"/>
      <c r="G25" s="4"/>
      <c r="H25" s="21"/>
      <c r="I25" s="21"/>
      <c r="J25" s="4"/>
      <c r="K25" s="4"/>
    </row>
    <row r="26" spans="1:11">
      <c r="A26" s="105">
        <f>A25/E35</f>
        <v>2.7559055118110236</v>
      </c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11">
      <c r="B27" s="4"/>
      <c r="C27" s="4"/>
      <c r="D27" s="4"/>
      <c r="E27" s="4"/>
      <c r="F27" s="4"/>
      <c r="G27" s="4"/>
      <c r="H27" s="4"/>
      <c r="I27" s="4"/>
      <c r="J27" s="4"/>
    </row>
    <row r="28" spans="1:11" ht="38.1" customHeight="1" thickBot="1">
      <c r="A28" s="4"/>
      <c r="B28" s="4"/>
      <c r="C28" s="4"/>
      <c r="D28" s="4"/>
      <c r="E28" s="106">
        <f>+E34</f>
        <v>2842</v>
      </c>
      <c r="F28" s="96">
        <f>+E28/$E$35</f>
        <v>111.88976377952757</v>
      </c>
      <c r="G28" s="4"/>
      <c r="H28" s="4"/>
      <c r="I28" s="4"/>
      <c r="J28" s="4"/>
    </row>
    <row r="29" spans="1:11">
      <c r="A29" s="10"/>
      <c r="B29" s="11" t="s">
        <v>9</v>
      </c>
      <c r="C29" s="12" t="s">
        <v>10</v>
      </c>
      <c r="D29" s="13" t="s">
        <v>11</v>
      </c>
      <c r="E29" s="323" t="s">
        <v>162</v>
      </c>
      <c r="F29" s="324"/>
      <c r="G29" s="13" t="s">
        <v>12</v>
      </c>
      <c r="H29" s="325">
        <f ca="1">NOW()</f>
        <v>43166.556318402778</v>
      </c>
      <c r="I29" s="325"/>
      <c r="J29" s="325"/>
      <c r="K29" s="326"/>
    </row>
    <row r="30" spans="1:11">
      <c r="A30" s="149" t="s">
        <v>13</v>
      </c>
      <c r="B30" s="107">
        <f t="shared" ref="B30:B35" si="0">+C30/$E$35</f>
        <v>100</v>
      </c>
      <c r="C30" s="89">
        <v>2540</v>
      </c>
      <c r="D30" s="150" t="s">
        <v>14</v>
      </c>
      <c r="E30" s="327">
        <v>1.78</v>
      </c>
      <c r="F30" s="32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107">
        <f t="shared" si="0"/>
        <v>56.17977528089888</v>
      </c>
      <c r="C31" s="18">
        <f>+C30/E30</f>
        <v>1426.9662921348315</v>
      </c>
      <c r="D31" s="17" t="s">
        <v>77</v>
      </c>
      <c r="E31" s="18">
        <f>C30+350</f>
        <v>2890</v>
      </c>
      <c r="F31" s="18">
        <v>147</v>
      </c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107">
        <f t="shared" si="0"/>
        <v>113.77952755905513</v>
      </c>
      <c r="C32" s="19">
        <f>E31</f>
        <v>2890</v>
      </c>
      <c r="D32" s="17" t="s">
        <v>78</v>
      </c>
      <c r="E32" s="18">
        <v>600</v>
      </c>
      <c r="F32" s="108" t="s">
        <v>166</v>
      </c>
      <c r="G32" s="109"/>
      <c r="H32" s="196"/>
      <c r="I32" s="4"/>
      <c r="J32" s="4"/>
      <c r="K32" s="22"/>
    </row>
    <row r="33" spans="1:11">
      <c r="A33" s="14" t="s">
        <v>23</v>
      </c>
      <c r="B33" s="107">
        <f t="shared" si="0"/>
        <v>88.345129611607561</v>
      </c>
      <c r="C33" s="19">
        <f>+C31+J6+A8+70</f>
        <v>2243.9662921348317</v>
      </c>
      <c r="D33" s="23" t="s">
        <v>24</v>
      </c>
      <c r="E33" s="110" t="s">
        <v>79</v>
      </c>
      <c r="F33" s="353" t="s">
        <v>133</v>
      </c>
      <c r="G33" s="354"/>
      <c r="H33" s="354"/>
      <c r="I33" s="26"/>
      <c r="J33" s="26"/>
      <c r="K33" s="27"/>
    </row>
    <row r="34" spans="1:11">
      <c r="A34" s="14" t="s">
        <v>25</v>
      </c>
      <c r="B34" s="107">
        <f t="shared" si="0"/>
        <v>114.70033631429465</v>
      </c>
      <c r="C34" s="19">
        <f>SQRT((C30^2)+(C31^2))</f>
        <v>2913.3885423830839</v>
      </c>
      <c r="D34" s="23" t="s">
        <v>80</v>
      </c>
      <c r="E34" s="53">
        <f>302+C30</f>
        <v>2842</v>
      </c>
      <c r="F34" s="25"/>
      <c r="G34" s="26"/>
      <c r="H34" s="26"/>
      <c r="I34" s="26"/>
      <c r="J34" s="26"/>
      <c r="K34" s="27"/>
    </row>
    <row r="35" spans="1:11" ht="15.75" thickBot="1">
      <c r="A35" s="29" t="s">
        <v>27</v>
      </c>
      <c r="B35" s="111">
        <f t="shared" si="0"/>
        <v>5.5118110236220472</v>
      </c>
      <c r="C35" s="75">
        <v>140</v>
      </c>
      <c r="D35" s="32" t="s">
        <v>28</v>
      </c>
      <c r="E35" s="64">
        <v>25.4</v>
      </c>
      <c r="F35" s="34"/>
      <c r="G35" s="34"/>
      <c r="H35" s="34"/>
      <c r="I35" s="34"/>
      <c r="J35" s="34"/>
      <c r="K35" s="73" t="s">
        <v>66</v>
      </c>
    </row>
    <row r="37" spans="1:1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ht="15.95" customHeight="1">
      <c r="B40" s="119" t="s">
        <v>32</v>
      </c>
      <c r="C40" s="122" t="s">
        <v>33</v>
      </c>
      <c r="D40" s="121">
        <v>120</v>
      </c>
      <c r="E40" s="121">
        <f>D40*25.4</f>
        <v>3048</v>
      </c>
      <c r="F40" s="4"/>
    </row>
    <row r="41" spans="1:11" ht="15.95" customHeight="1">
      <c r="B41" s="119" t="s">
        <v>34</v>
      </c>
      <c r="C41" s="122" t="s">
        <v>35</v>
      </c>
      <c r="D41" s="121">
        <v>140</v>
      </c>
      <c r="E41" s="121">
        <f>D41*25.4</f>
        <v>3556</v>
      </c>
      <c r="G41" s="4" t="s">
        <v>36</v>
      </c>
    </row>
    <row r="43" spans="1:11">
      <c r="B43" s="118" t="s">
        <v>37</v>
      </c>
      <c r="C43" s="127"/>
      <c r="D43" s="127"/>
      <c r="E43" s="127"/>
      <c r="F43" s="127"/>
      <c r="G43" s="127"/>
      <c r="H43" s="127"/>
      <c r="I43" s="127"/>
      <c r="J43" s="127"/>
      <c r="K43" s="127"/>
    </row>
    <row r="44" spans="1:11">
      <c r="B44" s="36" t="s">
        <v>91</v>
      </c>
      <c r="C44" s="36"/>
      <c r="D44" s="36"/>
      <c r="E44" s="36"/>
      <c r="F44" s="36"/>
      <c r="G44" s="36"/>
      <c r="H44" s="36"/>
    </row>
    <row r="45" spans="1:11">
      <c r="B45" s="36"/>
      <c r="C45" s="36"/>
      <c r="D45" s="36"/>
      <c r="E45" s="36"/>
      <c r="F45" s="36"/>
      <c r="G45" s="36"/>
      <c r="H45" s="36"/>
    </row>
    <row r="46" spans="1:11">
      <c r="B46" s="118" t="s">
        <v>42</v>
      </c>
      <c r="C46" s="127"/>
      <c r="D46" s="127"/>
      <c r="E46" s="127"/>
      <c r="F46" s="127"/>
      <c r="G46" s="127"/>
      <c r="H46" s="127"/>
      <c r="I46" s="127"/>
      <c r="J46" s="127"/>
      <c r="K46" s="127"/>
    </row>
    <row r="47" spans="1:11">
      <c r="B47" s="2" t="s">
        <v>92</v>
      </c>
    </row>
    <row r="49" spans="2:3">
      <c r="B49" s="2" t="s">
        <v>85</v>
      </c>
    </row>
    <row r="50" spans="2:3">
      <c r="B50" s="66">
        <f>+E31+100</f>
        <v>2990</v>
      </c>
      <c r="C50" s="2" t="s">
        <v>45</v>
      </c>
    </row>
    <row r="51" spans="2:3">
      <c r="B51" s="37">
        <v>350</v>
      </c>
      <c r="C51" s="2" t="s">
        <v>46</v>
      </c>
    </row>
    <row r="52" spans="2:3">
      <c r="B52" s="37">
        <v>250</v>
      </c>
      <c r="C52" s="2" t="s">
        <v>27</v>
      </c>
    </row>
    <row r="53" spans="2:3">
      <c r="B53" s="38"/>
    </row>
  </sheetData>
  <mergeCells count="8">
    <mergeCell ref="H31:K31"/>
    <mergeCell ref="F33:H33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53"/>
  <sheetViews>
    <sheetView showGridLines="0" topLeftCell="A33" workbookViewId="0">
      <selection activeCell="O27" sqref="O27"/>
    </sheetView>
  </sheetViews>
  <sheetFormatPr defaultColWidth="10.875" defaultRowHeight="15"/>
  <cols>
    <col min="1" max="1" width="10" style="2" customWidth="1"/>
    <col min="2" max="3" width="10.875" style="2"/>
    <col min="4" max="4" width="14.625" style="2" bestFit="1" customWidth="1"/>
    <col min="5" max="16384" width="10.875" style="2"/>
  </cols>
  <sheetData>
    <row r="1" spans="1:12" ht="25.5">
      <c r="A1" s="321" t="s">
        <v>141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+ROUND(B30,1)&amp;""""&amp;" "&amp;E30&amp;" Aspect Ratio"</f>
        <v>100" 1.78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s="94" customFormat="1" ht="19.5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3">
        <f>+C35</f>
        <v>252</v>
      </c>
    </row>
    <row r="4" spans="1:12" s="3" customFormat="1" ht="15.95" customHeight="1">
      <c r="A4" s="270"/>
      <c r="B4" s="270"/>
      <c r="C4" s="270"/>
      <c r="D4" s="270"/>
      <c r="E4" s="78">
        <f>E31</f>
        <v>2890</v>
      </c>
      <c r="F4" s="95">
        <f>+E4/$E$35</f>
        <v>113.77952755905513</v>
      </c>
      <c r="G4" s="270"/>
      <c r="H4" s="270"/>
      <c r="I4" s="270"/>
      <c r="J4" s="270"/>
      <c r="K4" s="96">
        <f>+K3/$E$35</f>
        <v>9.9212598425196852</v>
      </c>
    </row>
    <row r="5" spans="1:12">
      <c r="B5" s="4"/>
      <c r="C5" s="4"/>
      <c r="D5" s="4"/>
      <c r="E5" s="4"/>
      <c r="F5" s="4"/>
      <c r="G5" s="4"/>
      <c r="H5" s="4"/>
      <c r="I5" s="4"/>
      <c r="J5" s="4"/>
    </row>
    <row r="6" spans="1:12">
      <c r="B6" s="21"/>
      <c r="C6" s="21"/>
      <c r="D6" s="4"/>
      <c r="E6" s="4"/>
      <c r="F6" s="4"/>
      <c r="G6" s="4"/>
      <c r="H6" s="21"/>
      <c r="I6" s="21"/>
      <c r="J6" s="97">
        <f>+F31</f>
        <v>147</v>
      </c>
      <c r="K6" s="4"/>
    </row>
    <row r="7" spans="1:12">
      <c r="B7" s="293"/>
      <c r="C7" s="293"/>
      <c r="D7" s="293"/>
      <c r="E7" s="293"/>
      <c r="F7" s="293"/>
      <c r="G7" s="293"/>
      <c r="H7" s="293"/>
      <c r="I7" s="293"/>
      <c r="J7" s="98">
        <f>+J6/E35</f>
        <v>5.78740157480315</v>
      </c>
      <c r="K7" s="4"/>
    </row>
    <row r="8" spans="1:12">
      <c r="A8" s="99">
        <f>+E32</f>
        <v>210</v>
      </c>
      <c r="B8" s="293"/>
      <c r="C8" s="293"/>
      <c r="D8" s="293"/>
      <c r="E8" s="294"/>
      <c r="F8" s="293"/>
      <c r="G8" s="293"/>
      <c r="H8" s="293"/>
      <c r="I8" s="293"/>
      <c r="K8" s="4"/>
    </row>
    <row r="9" spans="1:12">
      <c r="A9" s="100">
        <f>+A8/E35</f>
        <v>8.2677165354330722</v>
      </c>
      <c r="B9" s="277"/>
      <c r="C9" s="277"/>
      <c r="D9" s="277"/>
      <c r="E9" s="277"/>
      <c r="F9" s="277"/>
      <c r="G9" s="277"/>
      <c r="H9" s="277"/>
      <c r="I9" s="277"/>
      <c r="K9" s="4"/>
    </row>
    <row r="10" spans="1:12">
      <c r="B10" s="277"/>
      <c r="C10" s="277"/>
      <c r="D10" s="277"/>
      <c r="E10" s="277"/>
      <c r="F10" s="277"/>
      <c r="G10" s="277"/>
      <c r="H10" s="277"/>
      <c r="I10" s="277"/>
      <c r="J10" s="4"/>
      <c r="K10" s="4"/>
    </row>
    <row r="11" spans="1:12">
      <c r="B11" s="277"/>
      <c r="C11" s="277"/>
      <c r="D11" s="277"/>
      <c r="E11" s="277"/>
      <c r="F11" s="277"/>
      <c r="G11" s="277"/>
      <c r="H11" s="277"/>
      <c r="I11" s="277"/>
      <c r="J11" s="4"/>
      <c r="K11" s="4"/>
    </row>
    <row r="12" spans="1:12">
      <c r="A12" s="4"/>
      <c r="B12" s="277"/>
      <c r="C12" s="277"/>
      <c r="D12" s="277"/>
      <c r="E12" s="277"/>
      <c r="F12" s="277"/>
      <c r="G12" s="277"/>
      <c r="H12" s="277"/>
      <c r="I12" s="277"/>
      <c r="J12" s="4"/>
      <c r="K12" s="4"/>
    </row>
    <row r="13" spans="1:12">
      <c r="A13" s="4"/>
      <c r="B13" s="21"/>
      <c r="C13" s="21"/>
      <c r="E13" s="4"/>
      <c r="G13" s="4"/>
      <c r="H13" s="21"/>
      <c r="I13" s="21"/>
      <c r="K13" s="4"/>
    </row>
    <row r="14" spans="1:12">
      <c r="A14" s="4"/>
      <c r="B14" s="21"/>
      <c r="C14" s="21"/>
      <c r="E14" s="278"/>
      <c r="F14" s="6"/>
      <c r="G14" s="4"/>
      <c r="H14" s="21"/>
      <c r="I14" s="21"/>
      <c r="J14" s="4"/>
      <c r="K14" s="4"/>
    </row>
    <row r="15" spans="1:12">
      <c r="A15" s="4"/>
      <c r="B15" s="21"/>
      <c r="C15" s="21"/>
      <c r="E15" s="279"/>
      <c r="F15" s="4"/>
      <c r="G15" s="4"/>
      <c r="H15" s="21"/>
      <c r="I15" s="21"/>
      <c r="J15" s="7">
        <f>+C33</f>
        <v>1853.9662921348315</v>
      </c>
      <c r="K15" s="4"/>
      <c r="L15" s="102">
        <f>C18+A8+A25</f>
        <v>1706.9662921348315</v>
      </c>
    </row>
    <row r="16" spans="1:12">
      <c r="A16" s="4"/>
      <c r="B16" s="21"/>
      <c r="C16" s="21"/>
      <c r="E16" s="4"/>
      <c r="G16" s="4"/>
      <c r="H16" s="21"/>
      <c r="I16" s="21"/>
      <c r="J16" s="101">
        <f>+J15/$E$35</f>
        <v>72.990798902946125</v>
      </c>
      <c r="K16" s="4"/>
      <c r="L16" s="103">
        <f>+L15/$E$35</f>
        <v>67.203397328142984</v>
      </c>
    </row>
    <row r="17" spans="1:11">
      <c r="A17" s="4"/>
      <c r="B17" s="21"/>
      <c r="C17" s="21"/>
      <c r="D17" s="4"/>
      <c r="E17" s="4"/>
      <c r="H17" s="21"/>
      <c r="I17" s="21"/>
      <c r="J17" s="4"/>
      <c r="K17" s="4"/>
    </row>
    <row r="18" spans="1:11">
      <c r="A18" s="4"/>
      <c r="B18" s="21"/>
      <c r="C18" s="273">
        <f>+C31</f>
        <v>1426.9662921348315</v>
      </c>
      <c r="D18" s="4"/>
      <c r="E18" s="4"/>
      <c r="F18" s="273">
        <f>+C34</f>
        <v>2913.3885423830839</v>
      </c>
      <c r="H18" s="280">
        <f>C30/2.4</f>
        <v>1058.3333333333335</v>
      </c>
      <c r="I18" s="21"/>
      <c r="J18" s="4"/>
      <c r="K18" s="4"/>
    </row>
    <row r="19" spans="1:11">
      <c r="A19" s="4"/>
      <c r="B19" s="21"/>
      <c r="C19" s="95">
        <f>+C18/$E$35</f>
        <v>56.17977528089888</v>
      </c>
      <c r="D19" s="4"/>
      <c r="E19" s="4"/>
      <c r="F19" s="95">
        <f>+F18/$E$35</f>
        <v>114.70033631429465</v>
      </c>
      <c r="G19" s="4"/>
      <c r="H19" s="279">
        <f>H18/25.4</f>
        <v>41.666666666666679</v>
      </c>
      <c r="I19" s="21"/>
      <c r="J19" s="4"/>
      <c r="K19" s="4"/>
    </row>
    <row r="20" spans="1:11">
      <c r="A20" s="4"/>
      <c r="B20" s="21"/>
      <c r="C20" s="21"/>
      <c r="D20" s="4"/>
      <c r="E20" s="4"/>
      <c r="F20" s="4"/>
      <c r="G20" s="4"/>
      <c r="H20" s="21"/>
      <c r="I20" s="21"/>
      <c r="J20" s="4"/>
      <c r="K20" s="4"/>
    </row>
    <row r="21" spans="1:11">
      <c r="A21" s="4"/>
      <c r="B21" s="21"/>
      <c r="C21" s="21"/>
      <c r="D21" s="4"/>
      <c r="E21" s="4"/>
      <c r="F21" s="4"/>
      <c r="G21" s="4"/>
      <c r="H21" s="21"/>
      <c r="I21" s="21"/>
      <c r="J21" s="4"/>
      <c r="K21" s="4"/>
    </row>
    <row r="22" spans="1:11">
      <c r="A22" s="4"/>
      <c r="B22" s="21"/>
      <c r="C22" s="21"/>
      <c r="D22" s="4"/>
      <c r="E22" s="4"/>
      <c r="F22" s="4"/>
      <c r="G22" s="4"/>
      <c r="H22" s="21"/>
      <c r="I22" s="21"/>
      <c r="J22" s="4"/>
      <c r="K22" s="4"/>
    </row>
    <row r="23" spans="1:11">
      <c r="A23" s="4"/>
      <c r="B23" s="21"/>
      <c r="C23" s="21"/>
      <c r="D23" s="4"/>
      <c r="E23" s="154">
        <f>+C30</f>
        <v>2540</v>
      </c>
      <c r="F23" s="4"/>
      <c r="G23" s="4"/>
      <c r="H23" s="21"/>
      <c r="I23" s="21"/>
      <c r="J23" s="4"/>
      <c r="K23" s="4"/>
    </row>
    <row r="24" spans="1:11">
      <c r="A24" s="4"/>
      <c r="B24" s="21"/>
      <c r="C24" s="21"/>
      <c r="D24" s="4"/>
      <c r="E24" s="166">
        <f>+E23/$E$35</f>
        <v>100</v>
      </c>
      <c r="F24" s="4"/>
      <c r="G24" s="4"/>
      <c r="H24" s="21"/>
      <c r="I24" s="21"/>
      <c r="J24" s="4"/>
      <c r="K24" s="4"/>
    </row>
    <row r="25" spans="1:11">
      <c r="A25" s="104">
        <v>70</v>
      </c>
      <c r="B25" s="21"/>
      <c r="C25" s="21"/>
      <c r="D25" s="4"/>
      <c r="F25" s="4"/>
      <c r="G25" s="4"/>
      <c r="H25" s="21"/>
      <c r="I25" s="21"/>
      <c r="J25" s="4"/>
      <c r="K25" s="4"/>
    </row>
    <row r="26" spans="1:11">
      <c r="A26" s="105">
        <f>A25/E35</f>
        <v>2.7559055118110236</v>
      </c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11">
      <c r="B27" s="4"/>
      <c r="C27" s="4"/>
      <c r="D27" s="4"/>
      <c r="E27" s="4"/>
      <c r="F27" s="4"/>
      <c r="G27" s="4"/>
      <c r="H27" s="4"/>
      <c r="I27" s="4"/>
      <c r="J27" s="4"/>
    </row>
    <row r="28" spans="1:11" ht="38.1" customHeight="1" thickBot="1">
      <c r="A28" s="4"/>
      <c r="B28" s="4"/>
      <c r="C28" s="4"/>
      <c r="D28" s="4"/>
      <c r="E28" s="106">
        <f>+E34</f>
        <v>2842</v>
      </c>
      <c r="F28" s="96">
        <f>+E28/$E$35</f>
        <v>111.88976377952757</v>
      </c>
      <c r="G28" s="4"/>
      <c r="H28" s="4"/>
      <c r="I28" s="4"/>
      <c r="J28" s="4"/>
    </row>
    <row r="29" spans="1:11">
      <c r="A29" s="10"/>
      <c r="B29" s="11" t="s">
        <v>9</v>
      </c>
      <c r="C29" s="281" t="s">
        <v>10</v>
      </c>
      <c r="D29" s="13" t="s">
        <v>11</v>
      </c>
      <c r="E29" s="355" t="s">
        <v>162</v>
      </c>
      <c r="F29" s="356"/>
      <c r="G29" s="13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49" t="s">
        <v>13</v>
      </c>
      <c r="B30" s="107">
        <f t="shared" ref="B30:B35" si="0">+C30/$E$35</f>
        <v>100</v>
      </c>
      <c r="C30" s="282">
        <v>2540</v>
      </c>
      <c r="D30" s="17" t="s">
        <v>14</v>
      </c>
      <c r="E30" s="357">
        <v>1.78</v>
      </c>
      <c r="F30" s="35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107">
        <f t="shared" si="0"/>
        <v>56.17977528089888</v>
      </c>
      <c r="C31" s="283">
        <f>+C30/E30</f>
        <v>1426.9662921348315</v>
      </c>
      <c r="D31" s="17" t="s">
        <v>77</v>
      </c>
      <c r="E31" s="283">
        <f>C30+350</f>
        <v>2890</v>
      </c>
      <c r="F31" s="283">
        <v>147</v>
      </c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107">
        <f t="shared" si="0"/>
        <v>113.77952755905513</v>
      </c>
      <c r="C32" s="284">
        <f>E31</f>
        <v>2890</v>
      </c>
      <c r="D32" s="17" t="s">
        <v>78</v>
      </c>
      <c r="E32" s="283">
        <v>210</v>
      </c>
      <c r="F32" s="108" t="s">
        <v>142</v>
      </c>
      <c r="G32" s="109"/>
      <c r="H32" s="272"/>
      <c r="I32" s="4"/>
      <c r="J32" s="4"/>
      <c r="K32" s="22"/>
    </row>
    <row r="33" spans="1:11">
      <c r="A33" s="14" t="s">
        <v>23</v>
      </c>
      <c r="B33" s="107">
        <f t="shared" si="0"/>
        <v>72.990798902946125</v>
      </c>
      <c r="C33" s="284">
        <f>+C31+J6+A8+70</f>
        <v>1853.9662921348315</v>
      </c>
      <c r="D33" s="23" t="s">
        <v>24</v>
      </c>
      <c r="E33" s="285" t="s">
        <v>79</v>
      </c>
      <c r="F33" s="286"/>
      <c r="G33" s="26"/>
      <c r="H33" s="26"/>
      <c r="I33" s="26"/>
      <c r="J33" s="26"/>
      <c r="K33" s="27"/>
    </row>
    <row r="34" spans="1:11">
      <c r="A34" s="14" t="s">
        <v>25</v>
      </c>
      <c r="B34" s="107">
        <f t="shared" si="0"/>
        <v>114.70033631429465</v>
      </c>
      <c r="C34" s="284">
        <f>SQRT((C30^2)+(C31^2))</f>
        <v>2913.3885423830839</v>
      </c>
      <c r="D34" s="23" t="s">
        <v>80</v>
      </c>
      <c r="E34" s="287">
        <f>302+C30</f>
        <v>2842</v>
      </c>
      <c r="F34" s="286" t="s">
        <v>144</v>
      </c>
      <c r="G34" s="26"/>
      <c r="H34" s="26"/>
      <c r="I34" s="26"/>
      <c r="J34" s="26"/>
      <c r="K34" s="27"/>
    </row>
    <row r="35" spans="1:11" ht="15.75" thickBot="1">
      <c r="A35" s="29" t="s">
        <v>27</v>
      </c>
      <c r="B35" s="111">
        <f t="shared" si="0"/>
        <v>9.9212598425196852</v>
      </c>
      <c r="C35" s="288">
        <v>252</v>
      </c>
      <c r="D35" s="32" t="s">
        <v>28</v>
      </c>
      <c r="E35" s="289">
        <v>25.4</v>
      </c>
      <c r="F35" s="34"/>
      <c r="G35" s="34"/>
      <c r="H35" s="34"/>
      <c r="I35" s="34"/>
      <c r="J35" s="34"/>
      <c r="K35" s="73" t="s">
        <v>66</v>
      </c>
    </row>
    <row r="37" spans="1:11" ht="15.95" customHeight="1">
      <c r="B37" s="123" t="s">
        <v>145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ht="15.95" customHeight="1">
      <c r="B40" s="119" t="s">
        <v>32</v>
      </c>
      <c r="C40" s="122" t="s">
        <v>33</v>
      </c>
      <c r="D40" s="121">
        <v>120</v>
      </c>
      <c r="E40" s="121">
        <f>D40*25.4</f>
        <v>3048</v>
      </c>
      <c r="F40" s="4"/>
    </row>
    <row r="41" spans="1:11" ht="15.95" customHeight="1">
      <c r="B41" s="119" t="s">
        <v>34</v>
      </c>
      <c r="C41" s="122" t="s">
        <v>35</v>
      </c>
      <c r="D41" s="121">
        <v>140</v>
      </c>
      <c r="E41" s="121">
        <f>D41*25.4</f>
        <v>3556</v>
      </c>
      <c r="G41" s="4" t="s">
        <v>36</v>
      </c>
    </row>
    <row r="43" spans="1:11">
      <c r="B43" s="118" t="s">
        <v>37</v>
      </c>
      <c r="C43" s="127"/>
      <c r="D43" s="127"/>
      <c r="E43" s="127"/>
      <c r="F43" s="127"/>
      <c r="G43" s="127"/>
      <c r="H43" s="127"/>
      <c r="I43" s="127"/>
      <c r="J43" s="127"/>
      <c r="K43" s="127"/>
    </row>
    <row r="44" spans="1:11">
      <c r="B44" s="36" t="s">
        <v>146</v>
      </c>
      <c r="C44" s="36"/>
      <c r="D44" s="36"/>
      <c r="E44" s="36"/>
      <c r="F44" s="36"/>
      <c r="G44" s="36"/>
      <c r="H44" s="36"/>
    </row>
    <row r="45" spans="1:11">
      <c r="B45" s="36"/>
      <c r="C45" s="36"/>
      <c r="D45" s="36"/>
      <c r="E45" s="36"/>
      <c r="F45" s="36"/>
      <c r="G45" s="36"/>
      <c r="H45" s="36"/>
    </row>
    <row r="46" spans="1:11">
      <c r="B46" s="118" t="s">
        <v>42</v>
      </c>
      <c r="C46" s="127"/>
      <c r="D46" s="127"/>
      <c r="E46" s="127"/>
      <c r="F46" s="127"/>
      <c r="G46" s="127"/>
      <c r="H46" s="127"/>
      <c r="I46" s="127"/>
      <c r="J46" s="127"/>
      <c r="K46" s="127"/>
    </row>
    <row r="47" spans="1:11">
      <c r="B47" s="2" t="s">
        <v>147</v>
      </c>
    </row>
    <row r="49" spans="2:3">
      <c r="B49" s="2" t="s">
        <v>85</v>
      </c>
    </row>
    <row r="50" spans="2:3">
      <c r="B50" s="290">
        <f>+E31+100</f>
        <v>2990</v>
      </c>
      <c r="C50" s="2" t="s">
        <v>45</v>
      </c>
    </row>
    <row r="51" spans="2:3">
      <c r="B51" s="291">
        <v>350</v>
      </c>
      <c r="C51" s="2" t="s">
        <v>46</v>
      </c>
    </row>
    <row r="52" spans="2:3">
      <c r="B52" s="291">
        <v>500</v>
      </c>
      <c r="C52" s="2" t="s">
        <v>27</v>
      </c>
    </row>
    <row r="53" spans="2:3">
      <c r="B53" s="292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53"/>
  <sheetViews>
    <sheetView showGridLines="0" zoomScale="120" zoomScaleNormal="120" zoomScalePageLayoutView="120" workbookViewId="0">
      <selection activeCell="E30" sqref="E30:F30"/>
    </sheetView>
  </sheetViews>
  <sheetFormatPr defaultColWidth="10.875" defaultRowHeight="15"/>
  <cols>
    <col min="1" max="1" width="10" style="2" customWidth="1"/>
    <col min="2" max="3" width="10.875" style="2"/>
    <col min="4" max="4" width="14.625" style="2" bestFit="1" customWidth="1"/>
    <col min="5" max="10" width="10.875" style="2"/>
    <col min="11" max="11" width="10" style="2" customWidth="1"/>
    <col min="12" max="16384" width="10.875" style="2"/>
  </cols>
  <sheetData>
    <row r="1" spans="1:12" ht="25.5">
      <c r="A1" s="321" t="s">
        <v>141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+ROUND(B30,1)&amp;""""&amp;" "&amp;E30&amp;" Aspect Ratio"</f>
        <v>100" 2.4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s="94" customFormat="1" ht="19.5">
      <c r="A3" s="275"/>
      <c r="B3" s="275"/>
      <c r="C3" s="275"/>
      <c r="D3" s="275"/>
      <c r="E3" s="275"/>
      <c r="F3" s="275"/>
      <c r="G3" s="275"/>
      <c r="H3" s="275"/>
      <c r="I3" s="275"/>
      <c r="J3" s="275"/>
      <c r="K3" s="297">
        <f>+C35</f>
        <v>252</v>
      </c>
    </row>
    <row r="4" spans="1:12" s="3" customFormat="1" ht="15.95" customHeight="1">
      <c r="A4" s="274"/>
      <c r="B4" s="274"/>
      <c r="C4" s="274"/>
      <c r="D4" s="274"/>
      <c r="E4" s="78">
        <f>E31</f>
        <v>2890</v>
      </c>
      <c r="F4" s="95">
        <f>+E4/$E$35</f>
        <v>113.77952755905513</v>
      </c>
      <c r="G4" s="274"/>
      <c r="H4" s="274"/>
      <c r="I4" s="274"/>
      <c r="J4" s="274"/>
      <c r="K4" s="296">
        <f>+K3/$E$35</f>
        <v>9.9212598425196852</v>
      </c>
    </row>
    <row r="5" spans="1:12">
      <c r="B5" s="4"/>
      <c r="C5" s="4"/>
      <c r="D5" s="4"/>
      <c r="E5" s="4"/>
      <c r="F5" s="4"/>
      <c r="G5" s="4"/>
      <c r="H5" s="4"/>
      <c r="I5" s="4"/>
      <c r="J5" s="4"/>
    </row>
    <row r="6" spans="1:12">
      <c r="B6" s="21"/>
      <c r="C6" s="21"/>
      <c r="D6" s="4"/>
      <c r="E6" s="4"/>
      <c r="F6" s="4"/>
      <c r="G6" s="4"/>
      <c r="H6" s="21"/>
      <c r="I6" s="21"/>
      <c r="J6" s="97">
        <f>+F31</f>
        <v>147</v>
      </c>
      <c r="K6" s="4"/>
    </row>
    <row r="7" spans="1:12">
      <c r="A7" s="99">
        <f>+E32</f>
        <v>210</v>
      </c>
      <c r="B7" s="277"/>
      <c r="C7" s="293"/>
      <c r="D7" s="293"/>
      <c r="E7" s="293"/>
      <c r="F7" s="293"/>
      <c r="G7" s="293"/>
      <c r="H7" s="293"/>
      <c r="I7" s="277"/>
      <c r="J7" s="98">
        <f>+J6/E35</f>
        <v>5.78740157480315</v>
      </c>
      <c r="K7" s="4"/>
    </row>
    <row r="8" spans="1:12">
      <c r="A8" s="100">
        <f>+A7/E35</f>
        <v>8.2677165354330722</v>
      </c>
      <c r="B8" s="277"/>
      <c r="C8" s="293"/>
      <c r="D8" s="293"/>
      <c r="E8" s="293"/>
      <c r="F8" s="293"/>
      <c r="G8" s="293"/>
      <c r="H8" s="293"/>
      <c r="I8" s="277"/>
      <c r="K8" s="4"/>
    </row>
    <row r="9" spans="1:12">
      <c r="B9" s="277"/>
      <c r="C9" s="21"/>
      <c r="D9" s="21"/>
      <c r="E9" s="21"/>
      <c r="F9" s="21"/>
      <c r="G9" s="21"/>
      <c r="H9" s="21"/>
      <c r="I9" s="277"/>
      <c r="K9" s="4"/>
    </row>
    <row r="10" spans="1:12">
      <c r="B10" s="277"/>
      <c r="C10" s="21"/>
      <c r="D10" s="21"/>
      <c r="E10" s="21"/>
      <c r="F10" s="21"/>
      <c r="G10" s="21"/>
      <c r="H10" s="21"/>
      <c r="I10" s="277"/>
      <c r="J10" s="4"/>
      <c r="K10" s="4"/>
    </row>
    <row r="11" spans="1:12">
      <c r="B11" s="277"/>
      <c r="C11" s="21"/>
      <c r="D11" s="21"/>
      <c r="E11" s="21"/>
      <c r="F11" s="21"/>
      <c r="G11" s="21"/>
      <c r="H11" s="21"/>
      <c r="I11" s="277"/>
      <c r="J11" s="4"/>
      <c r="K11" s="4"/>
    </row>
    <row r="12" spans="1:12">
      <c r="A12" s="4"/>
      <c r="B12" s="277"/>
      <c r="C12" s="21"/>
      <c r="E12" s="278">
        <f>C31*1.78</f>
        <v>1883.8333333333337</v>
      </c>
      <c r="F12" s="21"/>
      <c r="G12" s="21"/>
      <c r="H12" s="21"/>
      <c r="I12" s="277"/>
      <c r="J12" s="4"/>
      <c r="K12" s="4"/>
    </row>
    <row r="13" spans="1:12">
      <c r="A13" s="4"/>
      <c r="B13" s="277"/>
      <c r="C13" s="21"/>
      <c r="E13" s="279">
        <f>E12/25.4</f>
        <v>74.166666666666686</v>
      </c>
      <c r="G13" s="4"/>
      <c r="H13" s="21"/>
      <c r="I13" s="277"/>
      <c r="K13" s="4"/>
    </row>
    <row r="14" spans="1:12">
      <c r="A14" s="4"/>
      <c r="B14" s="277"/>
      <c r="C14" s="21"/>
      <c r="F14" s="6"/>
      <c r="G14" s="4"/>
      <c r="H14" s="21"/>
      <c r="I14" s="277"/>
      <c r="J14" s="4"/>
      <c r="K14" s="4"/>
    </row>
    <row r="15" spans="1:12">
      <c r="A15" s="4"/>
      <c r="B15" s="277"/>
      <c r="D15" s="87">
        <f>+C31</f>
        <v>1058.3333333333335</v>
      </c>
      <c r="F15" s="7">
        <f>+C34</f>
        <v>2751.666666666667</v>
      </c>
      <c r="G15" s="4"/>
      <c r="H15" s="21"/>
      <c r="I15" s="277"/>
      <c r="J15" s="97">
        <f>+C33</f>
        <v>1485.3333333333335</v>
      </c>
      <c r="K15" s="4"/>
      <c r="L15" s="298">
        <f>D15+A7+A22</f>
        <v>1338.3333333333335</v>
      </c>
    </row>
    <row r="16" spans="1:12">
      <c r="A16" s="4"/>
      <c r="B16" s="277"/>
      <c r="D16" s="103">
        <f>+D15/$E$35</f>
        <v>41.666666666666679</v>
      </c>
      <c r="E16" s="4"/>
      <c r="F16" s="295">
        <f>+F15/$E$35</f>
        <v>108.33333333333336</v>
      </c>
      <c r="G16" s="4"/>
      <c r="H16" s="21"/>
      <c r="I16" s="277"/>
      <c r="J16" s="101">
        <f>+J15/$E$35</f>
        <v>58.477690288713923</v>
      </c>
      <c r="K16" s="4"/>
      <c r="L16" s="103">
        <f>+L15/$E$35</f>
        <v>52.690288713910768</v>
      </c>
    </row>
    <row r="17" spans="1:11">
      <c r="A17" s="4"/>
      <c r="B17" s="21"/>
      <c r="C17" s="21"/>
      <c r="D17" s="4"/>
      <c r="E17" s="4"/>
      <c r="H17" s="21"/>
      <c r="I17" s="21"/>
      <c r="J17" s="4"/>
      <c r="K17" s="4"/>
    </row>
    <row r="18" spans="1:11">
      <c r="A18" s="4"/>
      <c r="B18" s="21"/>
      <c r="D18" s="4"/>
      <c r="E18" s="4"/>
      <c r="H18" s="280"/>
      <c r="I18" s="21"/>
      <c r="J18" s="4"/>
      <c r="K18" s="4"/>
    </row>
    <row r="19" spans="1:11">
      <c r="A19" s="4"/>
      <c r="B19" s="21"/>
      <c r="D19" s="4"/>
      <c r="E19" s="4"/>
      <c r="G19" s="4"/>
      <c r="H19" s="299">
        <f>+C30</f>
        <v>2540</v>
      </c>
      <c r="I19" s="21"/>
      <c r="J19" s="4"/>
      <c r="K19" s="4"/>
    </row>
    <row r="20" spans="1:11">
      <c r="A20" s="4"/>
      <c r="B20" s="21"/>
      <c r="C20" s="21"/>
      <c r="D20" s="4"/>
      <c r="E20" s="4"/>
      <c r="F20" s="4"/>
      <c r="G20" s="4"/>
      <c r="H20" s="170">
        <f>+H19/$E$35</f>
        <v>100</v>
      </c>
      <c r="I20" s="21"/>
      <c r="J20" s="4"/>
      <c r="K20" s="4"/>
    </row>
    <row r="21" spans="1:11">
      <c r="A21" s="4"/>
      <c r="B21" s="21"/>
      <c r="C21" s="21"/>
      <c r="D21" s="4"/>
      <c r="E21" s="4"/>
      <c r="F21" s="4"/>
      <c r="G21" s="4"/>
      <c r="H21" s="21"/>
      <c r="I21" s="21"/>
      <c r="J21" s="4"/>
      <c r="K21" s="4"/>
    </row>
    <row r="22" spans="1:11">
      <c r="A22" s="104">
        <v>70</v>
      </c>
      <c r="B22" s="21"/>
      <c r="C22" s="21"/>
      <c r="D22" s="4"/>
      <c r="F22" s="4"/>
      <c r="G22" s="4"/>
      <c r="H22" s="21"/>
      <c r="I22" s="21"/>
      <c r="J22" s="4"/>
      <c r="K22" s="4"/>
    </row>
    <row r="23" spans="1:11">
      <c r="A23" s="105">
        <f>A22/E32</f>
        <v>0.33333333333333331</v>
      </c>
      <c r="B23" s="21"/>
      <c r="C23" s="21"/>
      <c r="D23" s="4"/>
      <c r="F23" s="4"/>
      <c r="G23" s="4"/>
      <c r="H23" s="21"/>
      <c r="I23" s="21"/>
      <c r="J23" s="4"/>
      <c r="K23" s="4"/>
    </row>
    <row r="24" spans="1:11" ht="18.95" customHeight="1">
      <c r="A24" s="4"/>
      <c r="B24" s="21"/>
      <c r="C24" s="21"/>
      <c r="D24" s="4"/>
      <c r="E24" s="142">
        <f>+E34</f>
        <v>2842</v>
      </c>
      <c r="F24" s="95">
        <f>+E24/$E$35</f>
        <v>111.88976377952757</v>
      </c>
      <c r="G24" s="4"/>
      <c r="H24" s="21"/>
      <c r="I24" s="21"/>
      <c r="J24" s="4"/>
      <c r="K24" s="4"/>
    </row>
    <row r="25" spans="1:11">
      <c r="B25" s="21"/>
      <c r="C25" s="21"/>
      <c r="D25" s="4"/>
      <c r="G25" s="4"/>
      <c r="H25" s="21"/>
      <c r="I25" s="21"/>
      <c r="J25" s="4"/>
      <c r="K25" s="4"/>
    </row>
    <row r="26" spans="1:11"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11">
      <c r="B27" s="4"/>
      <c r="C27" s="4"/>
      <c r="D27" s="4"/>
      <c r="E27" s="4"/>
      <c r="F27" s="4"/>
      <c r="G27" s="4"/>
      <c r="H27" s="4"/>
      <c r="I27" s="4"/>
      <c r="J27" s="4"/>
    </row>
    <row r="28" spans="1:11" ht="18" customHeight="1" thickBot="1">
      <c r="A28" s="4"/>
      <c r="B28" s="4"/>
      <c r="C28" s="4"/>
      <c r="D28" s="4"/>
      <c r="G28" s="4"/>
      <c r="H28" s="4"/>
      <c r="I28" s="4"/>
      <c r="J28" s="4"/>
    </row>
    <row r="29" spans="1:11">
      <c r="A29" s="10"/>
      <c r="B29" s="11" t="s">
        <v>9</v>
      </c>
      <c r="C29" s="281" t="s">
        <v>10</v>
      </c>
      <c r="D29" s="13" t="s">
        <v>11</v>
      </c>
      <c r="E29" s="355" t="s">
        <v>162</v>
      </c>
      <c r="F29" s="356"/>
      <c r="G29" s="13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49" t="s">
        <v>13</v>
      </c>
      <c r="B30" s="107">
        <f t="shared" ref="B30:B35" si="0">+C30/$E$35</f>
        <v>100</v>
      </c>
      <c r="C30" s="282">
        <v>2540</v>
      </c>
      <c r="D30" s="17" t="s">
        <v>14</v>
      </c>
      <c r="E30" s="357">
        <v>2.4</v>
      </c>
      <c r="F30" s="35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107">
        <f t="shared" si="0"/>
        <v>41.666666666666679</v>
      </c>
      <c r="C31" s="283">
        <f>+C30/E30</f>
        <v>1058.3333333333335</v>
      </c>
      <c r="D31" s="17" t="s">
        <v>77</v>
      </c>
      <c r="E31" s="283">
        <f>C30+350</f>
        <v>2890</v>
      </c>
      <c r="F31" s="283">
        <v>147</v>
      </c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107">
        <f t="shared" si="0"/>
        <v>113.77952755905513</v>
      </c>
      <c r="C32" s="284">
        <f>E31</f>
        <v>2890</v>
      </c>
      <c r="D32" s="17" t="s">
        <v>78</v>
      </c>
      <c r="E32" s="283">
        <v>210</v>
      </c>
      <c r="F32" s="108" t="s">
        <v>142</v>
      </c>
      <c r="G32" s="109"/>
      <c r="H32" s="276"/>
      <c r="I32" s="4"/>
      <c r="J32" s="4"/>
      <c r="K32" s="22"/>
    </row>
    <row r="33" spans="1:11">
      <c r="A33" s="14" t="s">
        <v>23</v>
      </c>
      <c r="B33" s="107">
        <f t="shared" si="0"/>
        <v>58.477690288713923</v>
      </c>
      <c r="C33" s="284">
        <f>+C31+J6+A7+70</f>
        <v>1485.3333333333335</v>
      </c>
      <c r="D33" s="23" t="s">
        <v>24</v>
      </c>
      <c r="E33" s="285" t="s">
        <v>79</v>
      </c>
      <c r="F33" s="286" t="s">
        <v>143</v>
      </c>
      <c r="G33" s="26"/>
      <c r="H33" s="26"/>
      <c r="I33" s="26"/>
      <c r="J33" s="26"/>
      <c r="K33" s="27"/>
    </row>
    <row r="34" spans="1:11">
      <c r="A34" s="14" t="s">
        <v>25</v>
      </c>
      <c r="B34" s="107">
        <f t="shared" si="0"/>
        <v>108.33333333333336</v>
      </c>
      <c r="C34" s="284">
        <f>SQRT((C30^2)+(C31^2))</f>
        <v>2751.666666666667</v>
      </c>
      <c r="D34" s="23" t="s">
        <v>80</v>
      </c>
      <c r="E34" s="287">
        <f>302+C30</f>
        <v>2842</v>
      </c>
      <c r="F34" s="286"/>
      <c r="G34" s="26"/>
      <c r="H34" s="26"/>
      <c r="I34" s="26"/>
      <c r="J34" s="26"/>
      <c r="K34" s="27"/>
    </row>
    <row r="35" spans="1:11" ht="15.75" thickBot="1">
      <c r="A35" s="29" t="s">
        <v>27</v>
      </c>
      <c r="B35" s="111">
        <f t="shared" si="0"/>
        <v>9.9212598425196852</v>
      </c>
      <c r="C35" s="288">
        <v>252</v>
      </c>
      <c r="D35" s="32" t="s">
        <v>28</v>
      </c>
      <c r="E35" s="289">
        <v>25.4</v>
      </c>
      <c r="F35" s="34"/>
      <c r="G35" s="34"/>
      <c r="H35" s="34"/>
      <c r="I35" s="34"/>
      <c r="J35" s="34"/>
      <c r="K35" s="73" t="s">
        <v>66</v>
      </c>
    </row>
    <row r="37" spans="1:11" ht="15.95" customHeight="1">
      <c r="B37" s="123" t="s">
        <v>145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ht="15.95" customHeight="1">
      <c r="B40" s="119" t="s">
        <v>32</v>
      </c>
      <c r="C40" s="122" t="s">
        <v>33</v>
      </c>
      <c r="D40" s="121">
        <v>120</v>
      </c>
      <c r="E40" s="121">
        <f>D40*25.4</f>
        <v>3048</v>
      </c>
      <c r="F40" s="4"/>
    </row>
    <row r="41" spans="1:11" ht="15.95" customHeight="1">
      <c r="B41" s="119" t="s">
        <v>34</v>
      </c>
      <c r="C41" s="122" t="s">
        <v>35</v>
      </c>
      <c r="D41" s="121">
        <v>140</v>
      </c>
      <c r="E41" s="121">
        <f>D41*25.4</f>
        <v>3556</v>
      </c>
      <c r="G41" s="4" t="s">
        <v>36</v>
      </c>
    </row>
    <row r="43" spans="1:11">
      <c r="B43" s="118" t="s">
        <v>37</v>
      </c>
      <c r="C43" s="127"/>
      <c r="D43" s="127"/>
      <c r="E43" s="127"/>
      <c r="F43" s="127"/>
      <c r="G43" s="127"/>
      <c r="H43" s="127"/>
      <c r="I43" s="127"/>
      <c r="J43" s="127"/>
      <c r="K43" s="127"/>
    </row>
    <row r="44" spans="1:11">
      <c r="B44" s="36" t="s">
        <v>146</v>
      </c>
      <c r="C44" s="36"/>
      <c r="D44" s="36"/>
      <c r="E44" s="36"/>
      <c r="F44" s="36"/>
      <c r="G44" s="36"/>
      <c r="H44" s="36"/>
    </row>
    <row r="45" spans="1:11">
      <c r="B45" s="36"/>
      <c r="C45" s="36"/>
      <c r="D45" s="36"/>
      <c r="E45" s="36"/>
      <c r="F45" s="36"/>
      <c r="G45" s="36"/>
      <c r="H45" s="36"/>
    </row>
    <row r="46" spans="1:11">
      <c r="B46" s="118" t="s">
        <v>42</v>
      </c>
      <c r="C46" s="127"/>
      <c r="D46" s="127"/>
      <c r="E46" s="127"/>
      <c r="F46" s="127"/>
      <c r="G46" s="127"/>
      <c r="H46" s="127"/>
      <c r="I46" s="127"/>
      <c r="J46" s="127"/>
      <c r="K46" s="127"/>
    </row>
    <row r="47" spans="1:11">
      <c r="B47" s="2" t="s">
        <v>147</v>
      </c>
    </row>
    <row r="49" spans="2:3">
      <c r="B49" s="2" t="s">
        <v>85</v>
      </c>
    </row>
    <row r="50" spans="2:3">
      <c r="B50" s="290">
        <f>+E31+100</f>
        <v>2990</v>
      </c>
      <c r="C50" s="2" t="s">
        <v>45</v>
      </c>
    </row>
    <row r="51" spans="2:3">
      <c r="B51" s="291">
        <v>350</v>
      </c>
      <c r="C51" s="2" t="s">
        <v>46</v>
      </c>
    </row>
    <row r="52" spans="2:3">
      <c r="B52" s="291">
        <v>500</v>
      </c>
      <c r="C52" s="2" t="s">
        <v>27</v>
      </c>
    </row>
    <row r="53" spans="2:3">
      <c r="B53" s="292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62"/>
  <sheetViews>
    <sheetView showGridLines="0" topLeftCell="A19" workbookViewId="0">
      <selection activeCell="E34" sqref="E34"/>
    </sheetView>
  </sheetViews>
  <sheetFormatPr defaultColWidth="10.875" defaultRowHeight="15"/>
  <cols>
    <col min="1" max="1" width="10" style="2" customWidth="1"/>
    <col min="2" max="3" width="10.875" style="2"/>
    <col min="4" max="4" width="11.625" style="2" customWidth="1"/>
    <col min="5" max="16384" width="10.875" style="2"/>
  </cols>
  <sheetData>
    <row r="1" spans="1:11" ht="24.95" customHeight="1">
      <c r="A1" s="321" t="s">
        <v>93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100" 1.78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B4" s="82"/>
      <c r="C4" s="82"/>
      <c r="D4" s="82"/>
      <c r="E4" s="82"/>
      <c r="F4" s="82"/>
      <c r="G4" s="82"/>
      <c r="H4" s="82"/>
      <c r="I4" s="82"/>
      <c r="J4" s="4"/>
      <c r="K4" s="4"/>
    </row>
    <row r="5" spans="1:11">
      <c r="A5" s="4"/>
      <c r="B5" s="82"/>
      <c r="C5" s="82"/>
      <c r="D5" s="82"/>
      <c r="E5" s="82"/>
      <c r="F5" s="82"/>
      <c r="G5" s="82"/>
      <c r="H5" s="82"/>
      <c r="I5" s="82"/>
      <c r="J5" s="4"/>
      <c r="K5" s="4"/>
    </row>
    <row r="6" spans="1:11">
      <c r="A6" s="4"/>
      <c r="B6" s="82"/>
      <c r="C6" s="82"/>
      <c r="D6" s="82"/>
      <c r="E6" s="82"/>
      <c r="F6" s="82"/>
      <c r="G6" s="82"/>
      <c r="H6" s="82"/>
      <c r="I6" s="82"/>
      <c r="J6" s="4"/>
      <c r="K6" s="4"/>
    </row>
    <row r="7" spans="1:11">
      <c r="A7" s="4"/>
      <c r="B7" s="83"/>
      <c r="C7" s="83"/>
      <c r="D7" s="82"/>
      <c r="E7" s="82"/>
      <c r="F7" s="82"/>
      <c r="G7" s="82"/>
      <c r="H7" s="83"/>
      <c r="I7" s="83"/>
      <c r="J7" s="4"/>
      <c r="K7" s="4"/>
    </row>
    <row r="8" spans="1:11">
      <c r="A8" s="4"/>
      <c r="B8" s="83"/>
      <c r="C8" s="83"/>
      <c r="D8" s="82"/>
      <c r="E8" s="83"/>
      <c r="F8" s="84">
        <f>+C29</f>
        <v>2540</v>
      </c>
      <c r="G8" s="82"/>
      <c r="H8" s="83"/>
      <c r="I8" s="83"/>
      <c r="J8" s="4"/>
      <c r="K8" s="4"/>
    </row>
    <row r="9" spans="1:11">
      <c r="A9" s="4"/>
      <c r="B9" s="83"/>
      <c r="C9" s="83"/>
      <c r="D9" s="83"/>
      <c r="E9" s="83"/>
      <c r="F9" s="85">
        <f>+F8/$E$34</f>
        <v>100</v>
      </c>
      <c r="G9" s="82"/>
      <c r="H9" s="83"/>
      <c r="I9" s="83"/>
      <c r="J9" s="4"/>
      <c r="K9" s="4"/>
    </row>
    <row r="10" spans="1:11">
      <c r="A10" s="4"/>
      <c r="B10" s="83"/>
      <c r="C10" s="83"/>
      <c r="D10" s="82"/>
      <c r="E10" s="82"/>
      <c r="F10" s="82"/>
      <c r="G10" s="82"/>
      <c r="H10" s="83"/>
      <c r="I10" s="83"/>
      <c r="J10" s="4"/>
      <c r="K10" s="4"/>
    </row>
    <row r="11" spans="1:11">
      <c r="A11" s="4"/>
      <c r="D11" s="199">
        <f>+C30</f>
        <v>1426.9662921348315</v>
      </c>
      <c r="E11" s="4"/>
      <c r="G11" s="4"/>
      <c r="K11" s="4"/>
    </row>
    <row r="12" spans="1:11">
      <c r="A12" s="4"/>
      <c r="D12" s="198">
        <f>+D11/$E$34</f>
        <v>56.17977528089888</v>
      </c>
      <c r="E12" s="4"/>
      <c r="F12" s="6"/>
      <c r="G12" s="4"/>
      <c r="J12" s="4"/>
      <c r="K12" s="4"/>
    </row>
    <row r="13" spans="1:11">
      <c r="A13" s="4"/>
      <c r="D13" s="4"/>
      <c r="E13" s="4"/>
      <c r="F13" s="4"/>
      <c r="G13" s="4"/>
      <c r="H13" s="86">
        <f>+E31</f>
        <v>1058.3333333333335</v>
      </c>
      <c r="J13" s="7">
        <f>+C32</f>
        <v>1659.9662921348315</v>
      </c>
      <c r="K13" s="4"/>
    </row>
    <row r="14" spans="1:11">
      <c r="A14" s="4"/>
      <c r="D14" s="4"/>
      <c r="E14" s="4"/>
      <c r="F14" s="199">
        <f>+C33</f>
        <v>2913.3885423830839</v>
      </c>
      <c r="G14" s="4"/>
      <c r="H14" s="198">
        <f>+H13/E34</f>
        <v>41.666666666666679</v>
      </c>
      <c r="J14" s="5">
        <f>+J13/$E$34</f>
        <v>65.353003627355577</v>
      </c>
      <c r="K14" s="4"/>
    </row>
    <row r="15" spans="1:11">
      <c r="A15" s="4"/>
      <c r="D15" s="4"/>
      <c r="E15" s="4"/>
      <c r="F15" s="198">
        <f>+F14/$E$34</f>
        <v>114.70033631429465</v>
      </c>
      <c r="G15" s="4"/>
      <c r="J15" s="4"/>
      <c r="K15" s="4"/>
    </row>
    <row r="16" spans="1:11">
      <c r="A16" s="4"/>
      <c r="D16" s="4"/>
      <c r="E16" s="4"/>
      <c r="F16" s="4"/>
      <c r="G16" s="4"/>
      <c r="J16" s="4"/>
      <c r="K16" s="4"/>
    </row>
    <row r="17" spans="1:11">
      <c r="A17" s="4"/>
      <c r="D17" s="4"/>
      <c r="E17" s="4"/>
      <c r="F17" s="4"/>
      <c r="G17" s="4"/>
      <c r="J17" s="4"/>
      <c r="K17" s="4"/>
    </row>
    <row r="18" spans="1:11">
      <c r="A18" s="4"/>
      <c r="D18" s="4"/>
      <c r="E18" s="4"/>
      <c r="F18" s="4"/>
      <c r="G18" s="4"/>
      <c r="J18" s="4"/>
      <c r="K18" s="4"/>
    </row>
    <row r="19" spans="1:11">
      <c r="A19" s="4"/>
      <c r="D19" s="4"/>
      <c r="E19" s="8"/>
      <c r="F19" s="4"/>
      <c r="G19" s="4"/>
      <c r="J19" s="4"/>
      <c r="K19" s="4"/>
    </row>
    <row r="20" spans="1:11">
      <c r="A20" s="4"/>
      <c r="D20" s="4"/>
      <c r="E20" s="9"/>
      <c r="F20" s="4"/>
      <c r="G20" s="4"/>
      <c r="J20" s="4"/>
      <c r="K20" s="4"/>
    </row>
    <row r="21" spans="1:11">
      <c r="A21" s="4"/>
      <c r="B21" s="21"/>
      <c r="C21" s="21"/>
      <c r="D21" s="21"/>
      <c r="E21" s="21"/>
      <c r="F21" s="21"/>
      <c r="G21" s="21"/>
      <c r="H21" s="21"/>
      <c r="I21" s="21"/>
      <c r="J21" s="4"/>
      <c r="K21" s="4"/>
    </row>
    <row r="22" spans="1:11">
      <c r="A22" s="4"/>
      <c r="B22" s="21"/>
      <c r="C22" s="21"/>
      <c r="D22" s="21"/>
      <c r="E22" s="21"/>
      <c r="F22" s="21"/>
      <c r="G22" s="21"/>
      <c r="H22" s="21"/>
      <c r="I22" s="21"/>
      <c r="J22" s="4"/>
      <c r="K22" s="4"/>
    </row>
    <row r="23" spans="1:11">
      <c r="A23" s="4"/>
      <c r="B23" s="21"/>
      <c r="C23" s="21"/>
      <c r="D23" s="21"/>
      <c r="E23" s="21"/>
      <c r="F23" s="21"/>
      <c r="G23" s="21"/>
      <c r="H23" s="21"/>
      <c r="I23" s="21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+C34</f>
        <v>145</v>
      </c>
    </row>
    <row r="26" spans="1:11">
      <c r="A26" s="4"/>
      <c r="B26" s="4"/>
      <c r="C26" s="4"/>
      <c r="D26" s="4"/>
      <c r="E26" s="78">
        <f>+C31</f>
        <v>2728</v>
      </c>
      <c r="F26" s="4"/>
      <c r="G26" s="4"/>
      <c r="H26" s="4"/>
      <c r="I26" s="4"/>
      <c r="J26" s="4"/>
      <c r="K26" s="198">
        <f>+K25/$E$34</f>
        <v>5.7086614173228352</v>
      </c>
    </row>
    <row r="27" spans="1:11" ht="15.75" thickBot="1">
      <c r="A27" s="4"/>
      <c r="B27" s="4"/>
      <c r="C27" s="4"/>
      <c r="D27" s="4"/>
      <c r="E27" s="198">
        <f>+E26/$E$34</f>
        <v>107.40157480314961</v>
      </c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23" t="s">
        <v>94</v>
      </c>
      <c r="F28" s="324"/>
      <c r="G28" s="13" t="s">
        <v>12</v>
      </c>
      <c r="H28" s="325">
        <f ca="1">NOW()</f>
        <v>43166.556318402778</v>
      </c>
      <c r="I28" s="325"/>
      <c r="J28" s="325"/>
      <c r="K28" s="326"/>
    </row>
    <row r="29" spans="1:11">
      <c r="A29" s="149" t="s">
        <v>13</v>
      </c>
      <c r="B29" s="15">
        <f t="shared" ref="B29:B34" si="0">+C29/$E$34</f>
        <v>100</v>
      </c>
      <c r="C29" s="16">
        <v>2540</v>
      </c>
      <c r="D29" s="150" t="s">
        <v>14</v>
      </c>
      <c r="E29" s="327">
        <v>1.78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15">
        <f t="shared" si="0"/>
        <v>56.17977528089888</v>
      </c>
      <c r="C30" s="18">
        <f>+C29/E29</f>
        <v>1426.9662921348315</v>
      </c>
      <c r="D30" s="17" t="s">
        <v>17</v>
      </c>
      <c r="E30" s="360">
        <v>2.4</v>
      </c>
      <c r="F30" s="361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15">
        <f t="shared" si="0"/>
        <v>107.40157480314961</v>
      </c>
      <c r="C31" s="19">
        <f>+C29+(2*E33)</f>
        <v>2728</v>
      </c>
      <c r="D31" s="17" t="s">
        <v>95</v>
      </c>
      <c r="E31" s="54">
        <f>+C29/E30</f>
        <v>1058.3333333333335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15">
        <f t="shared" si="0"/>
        <v>65.353003627355577</v>
      </c>
      <c r="C32" s="19">
        <f>+C30+(2*E33)+45</f>
        <v>1659.9662921348315</v>
      </c>
      <c r="D32" s="23" t="s">
        <v>24</v>
      </c>
      <c r="E32" s="79" t="s">
        <v>79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15">
        <f t="shared" si="0"/>
        <v>114.70033631429465</v>
      </c>
      <c r="C33" s="19">
        <f>SQRT((C29^2)+(C30^2))</f>
        <v>2913.3885423830839</v>
      </c>
      <c r="D33" s="23" t="s">
        <v>26</v>
      </c>
      <c r="E33" s="59">
        <v>94</v>
      </c>
      <c r="F33" s="25"/>
      <c r="G33" s="26"/>
      <c r="H33" s="26"/>
      <c r="I33" s="26"/>
      <c r="J33" s="26"/>
      <c r="K33" s="27"/>
    </row>
    <row r="34" spans="1:11" ht="15.75" thickBot="1">
      <c r="A34" s="29" t="s">
        <v>27</v>
      </c>
      <c r="B34" s="30">
        <f t="shared" si="0"/>
        <v>5.7086614173228352</v>
      </c>
      <c r="C34" s="75">
        <v>145</v>
      </c>
      <c r="D34" s="32" t="s">
        <v>28</v>
      </c>
      <c r="E34" s="64">
        <v>25.4</v>
      </c>
      <c r="F34" s="34"/>
      <c r="G34" s="34"/>
      <c r="H34" s="34"/>
      <c r="I34" s="34"/>
      <c r="J34" s="34"/>
      <c r="K34" s="73" t="s">
        <v>66</v>
      </c>
    </row>
    <row r="36" spans="1:11">
      <c r="B36" s="118" t="s">
        <v>96</v>
      </c>
      <c r="C36" s="118"/>
      <c r="D36" s="118"/>
      <c r="E36" s="118"/>
      <c r="F36" s="118"/>
      <c r="G36" s="118"/>
      <c r="H36" s="118"/>
      <c r="I36" s="118"/>
      <c r="J36" s="118"/>
      <c r="K36" s="118"/>
    </row>
    <row r="37" spans="1:11">
      <c r="B37" s="128" t="s">
        <v>97</v>
      </c>
      <c r="C37" s="126" t="s">
        <v>98</v>
      </c>
      <c r="D37" s="128" t="s">
        <v>99</v>
      </c>
      <c r="E37" s="126" t="s">
        <v>100</v>
      </c>
      <c r="F37" s="126" t="s">
        <v>101</v>
      </c>
    </row>
    <row r="38" spans="1:11">
      <c r="B38" s="130">
        <v>2.4</v>
      </c>
      <c r="C38" s="136">
        <f>+D38/B38</f>
        <v>1058.3333333333335</v>
      </c>
      <c r="D38" s="136">
        <f>+$F$8</f>
        <v>2540</v>
      </c>
      <c r="E38" s="148">
        <f>+$C$30-C38</f>
        <v>368.63295880149803</v>
      </c>
      <c r="F38" s="137">
        <f>+E38/D38</f>
        <v>0.14513108614232206</v>
      </c>
    </row>
    <row r="39" spans="1:11" hidden="1">
      <c r="B39" s="130">
        <v>2.35</v>
      </c>
      <c r="C39" s="136">
        <f>+D39/B39</f>
        <v>1080.8510638297871</v>
      </c>
      <c r="D39" s="129">
        <f>+$F$8</f>
        <v>2540</v>
      </c>
      <c r="E39" s="148">
        <f>+$C$30-C39</f>
        <v>346.11522830504441</v>
      </c>
      <c r="F39" s="137">
        <f>+E39/D39</f>
        <v>0.13626583791537181</v>
      </c>
    </row>
    <row r="40" spans="1:11" hidden="1">
      <c r="B40" s="130">
        <v>2.33</v>
      </c>
      <c r="C40" s="136">
        <f>+D40/B40</f>
        <v>1090.1287553648069</v>
      </c>
      <c r="D40" s="129">
        <f>+$F$8</f>
        <v>2540</v>
      </c>
      <c r="E40" s="148">
        <f>+$C$30-C40</f>
        <v>336.8375367700246</v>
      </c>
      <c r="F40" s="137">
        <f>+E40/D40</f>
        <v>0.13261320345276559</v>
      </c>
    </row>
    <row r="41" spans="1:11">
      <c r="B41" s="130">
        <v>1.85</v>
      </c>
      <c r="C41" s="136">
        <f>+D41/B41</f>
        <v>1372.9729729729729</v>
      </c>
      <c r="D41" s="129">
        <f>+$F$8</f>
        <v>2540</v>
      </c>
      <c r="E41" s="148">
        <f>+$C$30-C41</f>
        <v>53.993319161858608</v>
      </c>
      <c r="F41" s="137">
        <f>+E41/D41</f>
        <v>2.1257212268448272E-2</v>
      </c>
    </row>
    <row r="42" spans="1:11">
      <c r="B42" s="130">
        <v>1.78</v>
      </c>
      <c r="C42" s="136">
        <f>+D42/B42</f>
        <v>1426.9662921348315</v>
      </c>
      <c r="D42" s="129">
        <f>+$F$8</f>
        <v>2540</v>
      </c>
      <c r="E42" s="148">
        <f>+$C$30-C42</f>
        <v>0</v>
      </c>
      <c r="F42" s="137">
        <f>+E42/D42</f>
        <v>0</v>
      </c>
    </row>
    <row r="44" spans="1:11" ht="15.95" customHeight="1">
      <c r="B44" s="123" t="s">
        <v>30</v>
      </c>
      <c r="C44" s="127"/>
      <c r="D44" s="132"/>
      <c r="E44" s="132"/>
      <c r="F44" s="127"/>
      <c r="G44" s="127"/>
      <c r="H44" s="127"/>
      <c r="I44" s="127"/>
      <c r="J44" s="127"/>
      <c r="K44" s="127"/>
    </row>
    <row r="45" spans="1:11" ht="6.95" customHeight="1">
      <c r="B45" s="125"/>
      <c r="C45" s="4"/>
      <c r="D45" s="26"/>
      <c r="E45" s="26"/>
      <c r="F45" s="4"/>
    </row>
    <row r="46" spans="1:11" ht="15.95" customHeight="1">
      <c r="B46" s="177" t="s">
        <v>51</v>
      </c>
      <c r="D46" s="359" t="s">
        <v>31</v>
      </c>
      <c r="E46" s="359"/>
      <c r="F46" s="197" t="s">
        <v>9</v>
      </c>
      <c r="G46" s="197" t="s">
        <v>10</v>
      </c>
    </row>
    <row r="47" spans="1:11" ht="15.95" customHeight="1">
      <c r="B47" s="2" t="s">
        <v>52</v>
      </c>
      <c r="D47" s="175" t="s">
        <v>32</v>
      </c>
      <c r="E47" s="176" t="s">
        <v>33</v>
      </c>
      <c r="F47" s="121">
        <v>106</v>
      </c>
      <c r="G47" s="99">
        <f>F47*25.4</f>
        <v>2692.3999999999996</v>
      </c>
    </row>
    <row r="48" spans="1:11" ht="15.95" customHeight="1">
      <c r="B48" s="2" t="s">
        <v>136</v>
      </c>
      <c r="D48" s="175" t="s">
        <v>32</v>
      </c>
      <c r="E48" s="176" t="s">
        <v>33</v>
      </c>
      <c r="F48" s="121">
        <v>160</v>
      </c>
      <c r="G48" s="121">
        <f>F48*25.4</f>
        <v>4064</v>
      </c>
    </row>
    <row r="49" spans="2:11" ht="15.95" customHeight="1">
      <c r="B49" s="4" t="s">
        <v>148</v>
      </c>
      <c r="D49" s="175" t="s">
        <v>32</v>
      </c>
      <c r="E49" s="176" t="s">
        <v>33</v>
      </c>
      <c r="F49" s="121">
        <v>180</v>
      </c>
      <c r="G49" s="121">
        <f>F49*25.4</f>
        <v>4572</v>
      </c>
      <c r="H49" s="4" t="s">
        <v>36</v>
      </c>
    </row>
    <row r="51" spans="2:11">
      <c r="B51" s="118" t="s">
        <v>37</v>
      </c>
      <c r="C51" s="127"/>
      <c r="D51" s="127"/>
      <c r="E51" s="127"/>
      <c r="F51" s="127"/>
      <c r="G51" s="127"/>
      <c r="H51" s="127"/>
      <c r="I51" s="127"/>
      <c r="J51" s="127"/>
      <c r="K51" s="127"/>
    </row>
    <row r="52" spans="2:11">
      <c r="B52" s="36" t="s">
        <v>102</v>
      </c>
      <c r="C52" s="36"/>
      <c r="D52" s="36"/>
      <c r="E52" s="36"/>
      <c r="F52" s="36"/>
      <c r="G52" s="36"/>
      <c r="H52" s="36"/>
      <c r="I52" s="36"/>
      <c r="J52" s="36"/>
      <c r="K52" s="36"/>
    </row>
    <row r="53" spans="2:11">
      <c r="B53" s="36"/>
      <c r="C53" s="36"/>
      <c r="D53" s="36"/>
      <c r="E53" s="36"/>
      <c r="F53" s="36"/>
      <c r="G53" s="36"/>
      <c r="H53" s="36"/>
      <c r="I53" s="36"/>
      <c r="J53" s="36"/>
      <c r="K53" s="36"/>
    </row>
    <row r="54" spans="2:11">
      <c r="B54" s="118" t="s">
        <v>42</v>
      </c>
      <c r="C54" s="127"/>
      <c r="D54" s="127"/>
      <c r="E54" s="127"/>
      <c r="F54" s="127"/>
      <c r="G54" s="127"/>
      <c r="H54" s="127"/>
      <c r="I54" s="127"/>
      <c r="J54" s="127"/>
      <c r="K54" s="127"/>
    </row>
    <row r="55" spans="2:11">
      <c r="B55" s="2" t="s">
        <v>137</v>
      </c>
    </row>
    <row r="56" spans="2:11">
      <c r="B56" s="2" t="s">
        <v>103</v>
      </c>
    </row>
    <row r="57" spans="2:11" ht="3.95" customHeight="1"/>
    <row r="58" spans="2:11">
      <c r="B58" s="2" t="s">
        <v>70</v>
      </c>
    </row>
    <row r="59" spans="2:11">
      <c r="B59" s="66">
        <f>+(C31)+100</f>
        <v>2828</v>
      </c>
      <c r="C59" s="2" t="s">
        <v>45</v>
      </c>
    </row>
    <row r="60" spans="2:11">
      <c r="B60" s="66">
        <f>(C32/2)+100</f>
        <v>929.98314606741576</v>
      </c>
      <c r="C60" s="2" t="s">
        <v>46</v>
      </c>
    </row>
    <row r="61" spans="2:11">
      <c r="B61" s="66">
        <v>350</v>
      </c>
      <c r="C61" s="2" t="s">
        <v>47</v>
      </c>
    </row>
    <row r="62" spans="2:11">
      <c r="B62" s="38"/>
    </row>
  </sheetData>
  <mergeCells count="9">
    <mergeCell ref="D46:E46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ageMargins left="0.75000000000000011" right="0.75000000000000011" top="1" bottom="1" header="0.5" footer="0.5"/>
  <pageSetup paperSize="9" scale="67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61"/>
  <sheetViews>
    <sheetView showGridLines="0" topLeftCell="A20" workbookViewId="0">
      <selection activeCell="G48" sqref="G48"/>
    </sheetView>
  </sheetViews>
  <sheetFormatPr defaultColWidth="10.875" defaultRowHeight="15"/>
  <cols>
    <col min="1" max="1" width="10" style="201" customWidth="1"/>
    <col min="2" max="16384" width="10.875" style="201"/>
  </cols>
  <sheetData>
    <row r="1" spans="1:11" ht="24.95" customHeight="1">
      <c r="A1" s="368" t="s">
        <v>104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</row>
    <row r="2" spans="1:11" s="202" customFormat="1" ht="24" customHeight="1">
      <c r="A2" s="369" t="str">
        <f>+ROUND(B29,0)&amp;""""&amp;" "&amp;E29&amp;" Aspect Ratio"</f>
        <v>100" 1.78 Aspect Ratio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</row>
    <row r="3" spans="1:1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</row>
    <row r="4" spans="1:11">
      <c r="A4" s="203"/>
      <c r="B4" s="204"/>
      <c r="C4" s="204"/>
      <c r="D4" s="204"/>
      <c r="E4" s="204"/>
      <c r="F4" s="204"/>
      <c r="G4" s="204"/>
      <c r="H4" s="204"/>
      <c r="I4" s="204"/>
      <c r="J4" s="203"/>
      <c r="K4" s="203"/>
    </row>
    <row r="5" spans="1:11">
      <c r="A5" s="203"/>
      <c r="B5" s="204"/>
      <c r="C5" s="204"/>
      <c r="D5" s="204"/>
      <c r="E5" s="204"/>
      <c r="F5" s="204"/>
      <c r="G5" s="204"/>
      <c r="H5" s="204"/>
      <c r="I5" s="204"/>
      <c r="J5" s="203"/>
      <c r="K5" s="203"/>
    </row>
    <row r="6" spans="1:11">
      <c r="A6" s="203"/>
      <c r="B6" s="204"/>
      <c r="C6" s="204"/>
      <c r="D6" s="204"/>
      <c r="E6" s="204"/>
      <c r="F6" s="204"/>
      <c r="G6" s="204"/>
      <c r="H6" s="204"/>
      <c r="I6" s="204"/>
      <c r="J6" s="203"/>
      <c r="K6" s="203"/>
    </row>
    <row r="7" spans="1:11">
      <c r="A7" s="203"/>
      <c r="D7" s="203"/>
      <c r="E7" s="203"/>
      <c r="F7" s="203"/>
      <c r="G7" s="203"/>
      <c r="J7" s="203"/>
      <c r="K7" s="203"/>
    </row>
    <row r="8" spans="1:11">
      <c r="A8" s="203"/>
      <c r="D8" s="203"/>
      <c r="F8" s="205">
        <f>+C29</f>
        <v>2540</v>
      </c>
      <c r="G8" s="203"/>
      <c r="J8" s="203"/>
      <c r="K8" s="203"/>
    </row>
    <row r="9" spans="1:11">
      <c r="A9" s="203"/>
      <c r="F9" s="206">
        <f>+F8/$E$34</f>
        <v>100</v>
      </c>
      <c r="G9" s="203"/>
      <c r="J9" s="203"/>
      <c r="K9" s="203"/>
    </row>
    <row r="10" spans="1:11">
      <c r="A10" s="203"/>
      <c r="D10" s="203"/>
      <c r="E10" s="203"/>
      <c r="F10" s="203"/>
      <c r="G10" s="203"/>
      <c r="J10" s="203"/>
      <c r="K10" s="203"/>
    </row>
    <row r="11" spans="1:11">
      <c r="A11" s="203"/>
      <c r="D11" s="205">
        <f>+C30</f>
        <v>1426.9662921348315</v>
      </c>
      <c r="E11" s="203"/>
      <c r="G11" s="203"/>
      <c r="K11" s="203"/>
    </row>
    <row r="12" spans="1:11">
      <c r="A12" s="203"/>
      <c r="D12" s="207">
        <f>+D11/$E$34</f>
        <v>56.17977528089888</v>
      </c>
      <c r="E12" s="203"/>
      <c r="F12" s="208"/>
      <c r="G12" s="203"/>
      <c r="J12" s="203"/>
      <c r="K12" s="203"/>
    </row>
    <row r="13" spans="1:11">
      <c r="A13" s="203"/>
      <c r="D13" s="203"/>
      <c r="E13" s="203"/>
      <c r="F13" s="203"/>
      <c r="G13" s="203"/>
      <c r="H13" s="209">
        <f>+E31</f>
        <v>1058.3333333333335</v>
      </c>
      <c r="J13" s="210">
        <f>+C32</f>
        <v>1704.9662921348315</v>
      </c>
      <c r="K13" s="203"/>
    </row>
    <row r="14" spans="1:11">
      <c r="A14" s="203"/>
      <c r="D14" s="203"/>
      <c r="E14" s="203"/>
      <c r="F14" s="205">
        <f>+C33</f>
        <v>2913.3885423830839</v>
      </c>
      <c r="G14" s="203"/>
      <c r="H14" s="207">
        <f>+H13/E34</f>
        <v>41.666666666666679</v>
      </c>
      <c r="J14" s="206">
        <f>+J13/$E$34</f>
        <v>67.124657170662658</v>
      </c>
      <c r="K14" s="203"/>
    </row>
    <row r="15" spans="1:11">
      <c r="A15" s="203"/>
      <c r="D15" s="203"/>
      <c r="E15" s="203"/>
      <c r="F15" s="207">
        <f>+F14/$E$34</f>
        <v>114.70033631429465</v>
      </c>
      <c r="G15" s="203"/>
      <c r="J15" s="203"/>
      <c r="K15" s="203"/>
    </row>
    <row r="16" spans="1:11">
      <c r="A16" s="203"/>
      <c r="D16" s="203"/>
      <c r="E16" s="203"/>
      <c r="F16" s="203"/>
      <c r="G16" s="203"/>
      <c r="J16" s="203"/>
      <c r="K16" s="203"/>
    </row>
    <row r="17" spans="1:14">
      <c r="A17" s="203"/>
      <c r="D17" s="203"/>
      <c r="E17" s="203"/>
      <c r="F17" s="203"/>
      <c r="G17" s="203"/>
      <c r="J17" s="203"/>
      <c r="K17" s="203"/>
    </row>
    <row r="18" spans="1:14">
      <c r="A18" s="203"/>
      <c r="D18" s="203"/>
      <c r="E18" s="203"/>
      <c r="F18" s="203"/>
      <c r="G18" s="203"/>
      <c r="J18" s="203"/>
      <c r="K18" s="203"/>
    </row>
    <row r="19" spans="1:14">
      <c r="A19" s="203"/>
      <c r="D19" s="203"/>
      <c r="E19" s="211"/>
      <c r="F19" s="203"/>
      <c r="G19" s="203"/>
      <c r="J19" s="203"/>
      <c r="K19" s="203"/>
    </row>
    <row r="20" spans="1:14">
      <c r="A20" s="203"/>
      <c r="D20" s="203"/>
      <c r="E20" s="212"/>
      <c r="F20" s="203"/>
      <c r="G20" s="203"/>
      <c r="J20" s="203"/>
      <c r="K20" s="203"/>
    </row>
    <row r="21" spans="1:14">
      <c r="A21" s="203"/>
      <c r="B21" s="204"/>
      <c r="C21" s="204"/>
      <c r="D21" s="204"/>
      <c r="E21" s="204"/>
      <c r="F21" s="204"/>
      <c r="G21" s="204"/>
      <c r="H21" s="204"/>
      <c r="I21" s="204"/>
      <c r="J21" s="203"/>
      <c r="K21" s="203"/>
    </row>
    <row r="22" spans="1:14">
      <c r="A22" s="203"/>
      <c r="B22" s="204"/>
      <c r="C22" s="204"/>
      <c r="D22" s="204"/>
      <c r="E22" s="204"/>
      <c r="F22" s="204"/>
      <c r="G22" s="204"/>
      <c r="H22" s="204"/>
      <c r="I22" s="204"/>
      <c r="J22" s="203"/>
      <c r="K22" s="203"/>
    </row>
    <row r="23" spans="1:14">
      <c r="A23" s="203"/>
      <c r="B23" s="204"/>
      <c r="C23" s="204"/>
      <c r="D23" s="204"/>
      <c r="E23" s="204"/>
      <c r="F23" s="204"/>
      <c r="G23" s="204"/>
      <c r="H23" s="204"/>
      <c r="I23" s="204"/>
      <c r="J23" s="203"/>
      <c r="K23" s="203"/>
    </row>
    <row r="24" spans="1:14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</row>
    <row r="25" spans="1:14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5">
        <f>+C34</f>
        <v>145</v>
      </c>
    </row>
    <row r="26" spans="1:14">
      <c r="A26" s="203"/>
      <c r="B26" s="203"/>
      <c r="C26" s="203"/>
      <c r="D26" s="203"/>
      <c r="E26" s="213">
        <f>+C31</f>
        <v>2728</v>
      </c>
      <c r="F26" s="203"/>
      <c r="G26" s="203"/>
      <c r="H26" s="203"/>
      <c r="I26" s="203"/>
      <c r="J26" s="203"/>
      <c r="K26" s="207">
        <f>+K25/$E$34</f>
        <v>5.7086614173228352</v>
      </c>
    </row>
    <row r="27" spans="1:14" ht="15.75" thickBot="1">
      <c r="A27" s="203"/>
      <c r="B27" s="203"/>
      <c r="C27" s="203"/>
      <c r="D27" s="203"/>
      <c r="E27" s="207">
        <f>+E26/$E$34</f>
        <v>107.40157480314961</v>
      </c>
      <c r="F27" s="203"/>
      <c r="G27" s="203"/>
      <c r="H27" s="203"/>
      <c r="I27" s="203"/>
      <c r="J27" s="203"/>
    </row>
    <row r="28" spans="1:14">
      <c r="A28" s="214"/>
      <c r="B28" s="215" t="s">
        <v>9</v>
      </c>
      <c r="C28" s="216" t="s">
        <v>10</v>
      </c>
      <c r="D28" s="217" t="s">
        <v>11</v>
      </c>
      <c r="E28" s="370" t="s">
        <v>94</v>
      </c>
      <c r="F28" s="371"/>
      <c r="G28" s="217" t="s">
        <v>12</v>
      </c>
      <c r="H28" s="372">
        <f ca="1">NOW()</f>
        <v>43166.556318402778</v>
      </c>
      <c r="I28" s="372"/>
      <c r="J28" s="372"/>
      <c r="K28" s="373"/>
    </row>
    <row r="29" spans="1:14">
      <c r="A29" s="218" t="s">
        <v>13</v>
      </c>
      <c r="B29" s="219">
        <f t="shared" ref="B29:B34" si="0">+C29/$E$34</f>
        <v>100</v>
      </c>
      <c r="C29" s="220">
        <v>2540</v>
      </c>
      <c r="D29" s="221" t="s">
        <v>14</v>
      </c>
      <c r="E29" s="374">
        <v>1.78</v>
      </c>
      <c r="F29" s="375"/>
      <c r="G29" s="222" t="s">
        <v>15</v>
      </c>
      <c r="H29" s="376"/>
      <c r="I29" s="376"/>
      <c r="J29" s="376"/>
      <c r="K29" s="377"/>
      <c r="N29" s="223"/>
    </row>
    <row r="30" spans="1:14">
      <c r="A30" s="224" t="s">
        <v>16</v>
      </c>
      <c r="B30" s="219">
        <f t="shared" si="0"/>
        <v>56.17977528089888</v>
      </c>
      <c r="C30" s="225">
        <f>+C29/E29</f>
        <v>1426.9662921348315</v>
      </c>
      <c r="D30" s="222" t="s">
        <v>17</v>
      </c>
      <c r="E30" s="363">
        <v>2.4</v>
      </c>
      <c r="F30" s="364"/>
      <c r="G30" s="222" t="s">
        <v>19</v>
      </c>
      <c r="H30" s="365"/>
      <c r="I30" s="366"/>
      <c r="J30" s="366"/>
      <c r="K30" s="367"/>
    </row>
    <row r="31" spans="1:14">
      <c r="A31" s="224" t="s">
        <v>20</v>
      </c>
      <c r="B31" s="219">
        <f t="shared" si="0"/>
        <v>107.40157480314961</v>
      </c>
      <c r="C31" s="226">
        <f>+C29+(2*E33)</f>
        <v>2728</v>
      </c>
      <c r="D31" s="222" t="s">
        <v>95</v>
      </c>
      <c r="E31" s="227">
        <f>+C29/E30</f>
        <v>1058.3333333333335</v>
      </c>
      <c r="F31" s="228" t="s">
        <v>22</v>
      </c>
      <c r="G31" s="203"/>
      <c r="H31" s="203"/>
      <c r="I31" s="203"/>
      <c r="J31" s="203"/>
      <c r="K31" s="229"/>
    </row>
    <row r="32" spans="1:14">
      <c r="A32" s="224" t="s">
        <v>23</v>
      </c>
      <c r="B32" s="219">
        <f t="shared" si="0"/>
        <v>67.124657170662658</v>
      </c>
      <c r="C32" s="226">
        <f>IF(C29&gt;3558, C30+(2*E33), C30+(2*E33)+90)</f>
        <v>1704.9662921348315</v>
      </c>
      <c r="D32" s="230" t="s">
        <v>24</v>
      </c>
      <c r="E32" s="231" t="s">
        <v>79</v>
      </c>
      <c r="F32" s="232"/>
      <c r="G32" s="233"/>
      <c r="H32" s="233"/>
      <c r="I32" s="233"/>
      <c r="J32" s="233"/>
      <c r="K32" s="234"/>
    </row>
    <row r="33" spans="1:11">
      <c r="A33" s="224" t="s">
        <v>25</v>
      </c>
      <c r="B33" s="219">
        <f t="shared" si="0"/>
        <v>114.70033631429465</v>
      </c>
      <c r="C33" s="226">
        <f>SQRT((C29^2)+(C30^2))</f>
        <v>2913.3885423830839</v>
      </c>
      <c r="D33" s="230" t="s">
        <v>26</v>
      </c>
      <c r="E33" s="235">
        <f>IF(C29&gt;3558, 200, 94)</f>
        <v>94</v>
      </c>
      <c r="F33" s="232"/>
      <c r="G33" s="233"/>
      <c r="H33" s="233"/>
      <c r="I33" s="233"/>
      <c r="J33" s="233"/>
      <c r="K33" s="234"/>
    </row>
    <row r="34" spans="1:11" ht="15.75" thickBot="1">
      <c r="A34" s="236" t="s">
        <v>27</v>
      </c>
      <c r="B34" s="237">
        <f t="shared" si="0"/>
        <v>5.7086614173228352</v>
      </c>
      <c r="C34" s="238">
        <f>IF(C29&gt;3558, 200, 145)</f>
        <v>145</v>
      </c>
      <c r="D34" s="239" t="s">
        <v>28</v>
      </c>
      <c r="E34" s="240">
        <v>25.4</v>
      </c>
      <c r="F34" s="241"/>
      <c r="G34" s="241"/>
      <c r="H34" s="241"/>
      <c r="I34" s="241"/>
      <c r="J34" s="241"/>
      <c r="K34" s="242" t="s">
        <v>66</v>
      </c>
    </row>
    <row r="36" spans="1:11">
      <c r="B36" s="243" t="s">
        <v>96</v>
      </c>
      <c r="C36" s="243"/>
      <c r="D36" s="243"/>
      <c r="E36" s="243"/>
      <c r="F36" s="243"/>
      <c r="G36" s="243"/>
      <c r="H36" s="243"/>
      <c r="I36" s="243"/>
      <c r="J36" s="243"/>
      <c r="K36" s="243"/>
    </row>
    <row r="37" spans="1:11">
      <c r="B37" s="244" t="s">
        <v>97</v>
      </c>
      <c r="C37" s="245" t="s">
        <v>98</v>
      </c>
      <c r="D37" s="244" t="s">
        <v>99</v>
      </c>
      <c r="E37" s="245" t="s">
        <v>100</v>
      </c>
      <c r="F37" s="245" t="s">
        <v>101</v>
      </c>
    </row>
    <row r="38" spans="1:11">
      <c r="B38" s="246">
        <v>2.4</v>
      </c>
      <c r="C38" s="247">
        <f>+D38/B38</f>
        <v>1058.3333333333335</v>
      </c>
      <c r="D38" s="247">
        <f>+$F$8</f>
        <v>2540</v>
      </c>
      <c r="E38" s="248">
        <f>+$C$30-C38</f>
        <v>368.63295880149803</v>
      </c>
      <c r="F38" s="249">
        <f>E38/D38</f>
        <v>0.14513108614232206</v>
      </c>
    </row>
    <row r="39" spans="1:11">
      <c r="B39" s="246">
        <v>2.35</v>
      </c>
      <c r="C39" s="247">
        <f>+D39/B39</f>
        <v>1080.8510638297871</v>
      </c>
      <c r="D39" s="247">
        <f>+$F$8</f>
        <v>2540</v>
      </c>
      <c r="E39" s="248">
        <f>+$C$30-C39</f>
        <v>346.11522830504441</v>
      </c>
      <c r="F39" s="249">
        <f>E39/D39</f>
        <v>0.13626583791537181</v>
      </c>
    </row>
    <row r="40" spans="1:11">
      <c r="B40" s="246">
        <v>2.33</v>
      </c>
      <c r="C40" s="247">
        <f>+D40/B40</f>
        <v>1090.1287553648069</v>
      </c>
      <c r="D40" s="247">
        <f>+$F$8</f>
        <v>2540</v>
      </c>
      <c r="E40" s="248">
        <f>+$C$30-C40</f>
        <v>336.8375367700246</v>
      </c>
      <c r="F40" s="249">
        <f>E40/D40</f>
        <v>0.13261320345276559</v>
      </c>
    </row>
    <row r="41" spans="1:11">
      <c r="B41" s="246">
        <v>1.85</v>
      </c>
      <c r="C41" s="247">
        <f>+D41/B41</f>
        <v>1372.9729729729729</v>
      </c>
      <c r="D41" s="247">
        <f>+$F$8</f>
        <v>2540</v>
      </c>
      <c r="E41" s="248">
        <f>+$C$30-C41</f>
        <v>53.993319161858608</v>
      </c>
      <c r="F41" s="249">
        <f>E41/D41</f>
        <v>2.1257212268448272E-2</v>
      </c>
    </row>
    <row r="42" spans="1:11">
      <c r="B42" s="246">
        <v>1.78</v>
      </c>
      <c r="C42" s="247">
        <f>+D42/B42</f>
        <v>1426.9662921348315</v>
      </c>
      <c r="D42" s="247">
        <f>+$F$8</f>
        <v>2540</v>
      </c>
      <c r="E42" s="248">
        <f>+$C$30-C42</f>
        <v>0</v>
      </c>
      <c r="F42" s="249">
        <f>E42/D42</f>
        <v>0</v>
      </c>
      <c r="G42" s="250" t="s">
        <v>105</v>
      </c>
    </row>
    <row r="43" spans="1:11">
      <c r="B43" s="251"/>
      <c r="C43" s="252"/>
      <c r="D43" s="252"/>
      <c r="E43" s="253"/>
      <c r="F43" s="253"/>
      <c r="G43" s="254"/>
    </row>
    <row r="44" spans="1:11" ht="15.95" customHeight="1">
      <c r="B44" s="255" t="s">
        <v>30</v>
      </c>
      <c r="C44" s="256"/>
      <c r="D44" s="257"/>
      <c r="E44" s="257"/>
      <c r="F44" s="256"/>
      <c r="G44" s="256"/>
      <c r="H44" s="256"/>
      <c r="I44" s="256"/>
      <c r="J44" s="256"/>
      <c r="K44" s="256"/>
    </row>
    <row r="45" spans="1:11" ht="6.95" customHeight="1">
      <c r="B45" s="258"/>
      <c r="C45" s="203"/>
      <c r="D45" s="233"/>
      <c r="E45" s="233"/>
      <c r="F45" s="203"/>
    </row>
    <row r="46" spans="1:11" ht="15.95" customHeight="1">
      <c r="B46" s="259" t="s">
        <v>51</v>
      </c>
      <c r="D46" s="362" t="s">
        <v>31</v>
      </c>
      <c r="E46" s="362"/>
      <c r="F46" s="260" t="s">
        <v>9</v>
      </c>
      <c r="G46" s="260" t="s">
        <v>10</v>
      </c>
    </row>
    <row r="47" spans="1:11" ht="15.95" customHeight="1">
      <c r="B47" s="201" t="s">
        <v>52</v>
      </c>
      <c r="D47" s="261" t="s">
        <v>32</v>
      </c>
      <c r="E47" s="262" t="s">
        <v>33</v>
      </c>
      <c r="F47" s="263">
        <v>106</v>
      </c>
      <c r="G47" s="264">
        <f>F47*25.4</f>
        <v>2692.3999999999996</v>
      </c>
    </row>
    <row r="48" spans="1:11" ht="15.95" customHeight="1">
      <c r="A48" s="265"/>
      <c r="B48" s="265" t="s">
        <v>136</v>
      </c>
      <c r="C48" s="265"/>
      <c r="D48" s="266" t="s">
        <v>32</v>
      </c>
      <c r="E48" s="267">
        <v>1.78</v>
      </c>
      <c r="F48" s="268">
        <v>160</v>
      </c>
      <c r="G48" s="268">
        <v>4064</v>
      </c>
      <c r="H48" s="265"/>
      <c r="I48" s="265"/>
      <c r="J48" s="265"/>
      <c r="K48" s="265"/>
    </row>
    <row r="49" spans="2:11" ht="15.95" customHeight="1">
      <c r="B49" s="4" t="s">
        <v>155</v>
      </c>
      <c r="D49" s="261" t="s">
        <v>32</v>
      </c>
      <c r="E49" s="262" t="s">
        <v>33</v>
      </c>
      <c r="F49" s="263">
        <v>180</v>
      </c>
      <c r="G49" s="263">
        <f>F49*25.4</f>
        <v>4572</v>
      </c>
      <c r="H49" s="203" t="s">
        <v>36</v>
      </c>
    </row>
    <row r="51" spans="2:11">
      <c r="B51" s="243" t="s">
        <v>37</v>
      </c>
      <c r="C51" s="256"/>
      <c r="D51" s="256"/>
      <c r="E51" s="256"/>
      <c r="F51" s="256"/>
      <c r="G51" s="256"/>
      <c r="H51" s="256"/>
      <c r="I51" s="256"/>
      <c r="J51" s="256"/>
      <c r="K51" s="256"/>
    </row>
    <row r="52" spans="2:11">
      <c r="B52" s="269" t="s">
        <v>106</v>
      </c>
      <c r="C52" s="269"/>
      <c r="D52" s="269"/>
      <c r="E52" s="269"/>
      <c r="F52" s="269"/>
      <c r="G52" s="269"/>
      <c r="H52" s="269"/>
      <c r="I52" s="269"/>
      <c r="J52" s="269"/>
      <c r="K52" s="269"/>
    </row>
    <row r="53" spans="2:11">
      <c r="B53" s="269"/>
      <c r="C53" s="269"/>
      <c r="D53" s="269"/>
      <c r="E53" s="269"/>
      <c r="F53" s="269"/>
      <c r="G53" s="269"/>
      <c r="H53" s="269"/>
      <c r="I53" s="269"/>
      <c r="J53" s="269"/>
      <c r="K53" s="269"/>
    </row>
    <row r="54" spans="2:11">
      <c r="B54" s="243" t="s">
        <v>68</v>
      </c>
      <c r="C54" s="256"/>
      <c r="D54" s="256"/>
      <c r="E54" s="256"/>
      <c r="F54" s="256"/>
      <c r="G54" s="256"/>
      <c r="H54" s="256"/>
      <c r="I54" s="256"/>
      <c r="J54" s="256"/>
      <c r="K54" s="256"/>
    </row>
    <row r="55" spans="2:11">
      <c r="B55" s="2" t="s">
        <v>156</v>
      </c>
    </row>
    <row r="56" spans="2:11">
      <c r="B56" s="201" t="s">
        <v>103</v>
      </c>
    </row>
    <row r="57" spans="2:11">
      <c r="B57" s="2" t="s">
        <v>157</v>
      </c>
    </row>
    <row r="58" spans="2:11">
      <c r="B58" s="252">
        <f>+(C31)+100</f>
        <v>2828</v>
      </c>
      <c r="C58" s="201" t="s">
        <v>45</v>
      </c>
    </row>
    <row r="59" spans="2:11">
      <c r="B59" s="252">
        <f>(C32/2)+100</f>
        <v>952.48314606741576</v>
      </c>
      <c r="C59" s="201" t="s">
        <v>46</v>
      </c>
    </row>
    <row r="60" spans="2:11">
      <c r="B60" s="252">
        <v>700</v>
      </c>
      <c r="C60" s="201" t="s">
        <v>47</v>
      </c>
    </row>
    <row r="61" spans="2:11">
      <c r="B61" s="251"/>
    </row>
  </sheetData>
  <mergeCells count="9">
    <mergeCell ref="D46:E46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 r:id="rId1"/>
  <headerFooter>
    <oddHeader>&amp;C&amp;"Calibri,Bold"&amp;14&amp;K000000Screen Excellence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63"/>
  <sheetViews>
    <sheetView showGridLines="0" workbookViewId="0">
      <selection activeCell="E28" sqref="E28:F28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107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100" 2.4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B4" s="76"/>
      <c r="C4" s="76"/>
      <c r="D4" s="4"/>
      <c r="E4" s="4"/>
      <c r="F4" s="4"/>
      <c r="G4" s="4"/>
      <c r="H4" s="76"/>
      <c r="I4" s="76"/>
      <c r="J4" s="4"/>
      <c r="K4" s="4"/>
    </row>
    <row r="5" spans="1:11">
      <c r="A5" s="4"/>
      <c r="B5" s="76"/>
      <c r="C5" s="76"/>
      <c r="D5" s="4"/>
      <c r="E5" s="199">
        <f>+C29</f>
        <v>2540</v>
      </c>
      <c r="F5" s="4"/>
      <c r="G5" s="4"/>
      <c r="H5" s="76"/>
      <c r="I5" s="76"/>
      <c r="J5" s="4"/>
      <c r="K5" s="4"/>
    </row>
    <row r="6" spans="1:11">
      <c r="A6" s="4"/>
      <c r="B6" s="76"/>
      <c r="C6" s="76"/>
      <c r="D6" s="4"/>
      <c r="E6" s="5">
        <f>+E5/$E$34</f>
        <v>100</v>
      </c>
      <c r="G6" s="4"/>
      <c r="H6" s="76"/>
      <c r="I6" s="76"/>
      <c r="J6" s="4"/>
      <c r="K6" s="4"/>
    </row>
    <row r="7" spans="1:11">
      <c r="A7" s="4"/>
      <c r="B7" s="76"/>
      <c r="C7" s="76"/>
      <c r="D7" s="4"/>
      <c r="E7" s="4"/>
      <c r="F7" s="4"/>
      <c r="G7" s="4"/>
      <c r="H7" s="76"/>
      <c r="I7" s="76"/>
      <c r="J7" s="4"/>
      <c r="K7" s="4"/>
    </row>
    <row r="8" spans="1:11">
      <c r="A8" s="4"/>
      <c r="B8" s="76"/>
      <c r="C8" s="76"/>
      <c r="D8" s="4"/>
      <c r="E8" s="4"/>
      <c r="F8" s="4"/>
      <c r="G8" s="4"/>
      <c r="H8" s="76"/>
      <c r="I8" s="76"/>
      <c r="J8" s="4"/>
      <c r="K8" s="4"/>
    </row>
    <row r="9" spans="1:11">
      <c r="A9" s="4"/>
      <c r="B9" s="76"/>
      <c r="C9" s="76"/>
      <c r="E9" s="4"/>
      <c r="F9" s="4"/>
      <c r="G9" s="4"/>
      <c r="H9" s="76"/>
      <c r="I9" s="76"/>
      <c r="J9" s="4"/>
      <c r="K9" s="4"/>
    </row>
    <row r="10" spans="1:11">
      <c r="A10" s="4"/>
      <c r="B10" s="76"/>
      <c r="C10" s="76"/>
      <c r="D10" s="4"/>
      <c r="E10" s="4"/>
      <c r="F10" s="4"/>
      <c r="G10" s="4"/>
      <c r="H10" s="76"/>
      <c r="I10" s="76"/>
      <c r="J10" s="4"/>
      <c r="K10" s="4"/>
    </row>
    <row r="11" spans="1:11">
      <c r="A11" s="4"/>
      <c r="B11" s="76"/>
      <c r="C11" s="76"/>
      <c r="D11" s="87">
        <f>+C30</f>
        <v>1058.3333333333335</v>
      </c>
      <c r="E11" s="4"/>
      <c r="G11" s="4"/>
      <c r="H11" s="76"/>
      <c r="I11" s="76"/>
      <c r="K11" s="4"/>
    </row>
    <row r="12" spans="1:11">
      <c r="A12" s="4"/>
      <c r="B12" s="76"/>
      <c r="C12" s="76"/>
      <c r="D12" s="88">
        <f>+D11/$E$34</f>
        <v>41.666666666666679</v>
      </c>
      <c r="E12" s="4"/>
      <c r="F12" s="6"/>
      <c r="G12" s="4"/>
      <c r="H12" s="76"/>
      <c r="I12" s="76"/>
      <c r="J12" s="4"/>
      <c r="K12" s="4"/>
    </row>
    <row r="13" spans="1:11">
      <c r="A13" s="4"/>
      <c r="B13" s="76"/>
      <c r="C13" s="76"/>
      <c r="D13" s="4"/>
      <c r="E13" s="4"/>
      <c r="F13" s="4"/>
      <c r="G13" s="4"/>
      <c r="H13" s="76"/>
      <c r="I13" s="76"/>
      <c r="J13" s="7">
        <f>+C32</f>
        <v>1246.3333333333335</v>
      </c>
      <c r="K13" s="4"/>
    </row>
    <row r="14" spans="1:11">
      <c r="A14" s="4"/>
      <c r="B14" s="76"/>
      <c r="C14" s="76"/>
      <c r="D14" s="4"/>
      <c r="E14" s="4"/>
      <c r="F14" s="199">
        <f>+C33</f>
        <v>2751.666666666667</v>
      </c>
      <c r="G14" s="4"/>
      <c r="H14" s="76"/>
      <c r="I14" s="76"/>
      <c r="J14" s="5">
        <f>+J13/$E$34</f>
        <v>49.068241469816279</v>
      </c>
      <c r="K14" s="4"/>
    </row>
    <row r="15" spans="1:11">
      <c r="A15" s="4"/>
      <c r="B15" s="76"/>
      <c r="C15" s="76"/>
      <c r="D15" s="4"/>
      <c r="E15" s="4"/>
      <c r="F15" s="198">
        <f>+F14/$E$34</f>
        <v>108.33333333333336</v>
      </c>
      <c r="G15" s="4"/>
      <c r="H15" s="76"/>
      <c r="I15" s="76"/>
      <c r="J15" s="4"/>
      <c r="K15" s="4"/>
    </row>
    <row r="16" spans="1:11">
      <c r="A16" s="4"/>
      <c r="B16" s="76"/>
      <c r="C16" s="76"/>
      <c r="D16" s="4"/>
      <c r="E16" s="4"/>
      <c r="F16" s="4"/>
      <c r="G16" s="4"/>
      <c r="H16" s="76"/>
      <c r="I16" s="76"/>
      <c r="J16" s="4"/>
      <c r="K16" s="4"/>
    </row>
    <row r="17" spans="1:11">
      <c r="A17" s="4"/>
      <c r="B17" s="76"/>
      <c r="C17" s="76"/>
      <c r="D17" s="4"/>
      <c r="E17" s="4"/>
      <c r="F17" s="4"/>
      <c r="G17" s="4"/>
      <c r="H17" s="76"/>
      <c r="I17" s="76"/>
      <c r="J17" s="4"/>
      <c r="K17" s="4"/>
    </row>
    <row r="18" spans="1:11">
      <c r="A18" s="4"/>
      <c r="B18" s="76"/>
      <c r="C18" s="76"/>
      <c r="D18" s="4"/>
      <c r="E18" s="4"/>
      <c r="F18" s="4"/>
      <c r="G18" s="4"/>
      <c r="H18" s="76"/>
      <c r="I18" s="76"/>
      <c r="J18" s="4"/>
      <c r="K18" s="4"/>
    </row>
    <row r="19" spans="1:11">
      <c r="A19" s="4"/>
      <c r="B19" s="76"/>
      <c r="C19" s="76"/>
      <c r="D19" s="4"/>
      <c r="E19" s="4"/>
      <c r="F19" s="4"/>
      <c r="G19" s="4"/>
      <c r="H19" s="76"/>
      <c r="I19" s="76"/>
      <c r="J19" s="4"/>
      <c r="K19" s="4"/>
    </row>
    <row r="20" spans="1:11">
      <c r="A20" s="4"/>
      <c r="B20" s="76"/>
      <c r="C20" s="76"/>
      <c r="D20" s="4"/>
      <c r="E20" s="4"/>
      <c r="F20" s="4"/>
      <c r="G20" s="4"/>
      <c r="H20" s="76"/>
      <c r="I20" s="76"/>
      <c r="J20" s="4"/>
      <c r="K20" s="4"/>
    </row>
    <row r="21" spans="1:11">
      <c r="A21" s="4"/>
      <c r="B21" s="76"/>
      <c r="C21" s="76"/>
      <c r="D21" s="4"/>
      <c r="E21" s="7">
        <f>+E31</f>
        <v>1909.7744360902254</v>
      </c>
      <c r="F21" s="4"/>
      <c r="G21" s="4"/>
      <c r="H21" s="76"/>
      <c r="I21" s="76"/>
      <c r="J21" s="4"/>
      <c r="K21" s="4"/>
    </row>
    <row r="22" spans="1:11">
      <c r="A22" s="4"/>
      <c r="B22" s="76"/>
      <c r="C22" s="76"/>
      <c r="D22" s="4"/>
      <c r="E22" s="43">
        <f>+E21/$E$34</f>
        <v>75.187969924812023</v>
      </c>
      <c r="F22" s="4"/>
      <c r="G22" s="4"/>
      <c r="H22" s="76"/>
      <c r="I22" s="76"/>
      <c r="J22" s="4"/>
      <c r="K22" s="4"/>
    </row>
    <row r="23" spans="1:11">
      <c r="A23" s="4"/>
      <c r="B23" s="76"/>
      <c r="C23" s="76"/>
      <c r="D23" s="4"/>
      <c r="E23" s="4"/>
      <c r="F23" s="4"/>
      <c r="G23" s="4"/>
      <c r="H23" s="76"/>
      <c r="I23" s="76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+C34</f>
        <v>145</v>
      </c>
    </row>
    <row r="26" spans="1:11">
      <c r="A26" s="4"/>
      <c r="B26" s="4"/>
      <c r="C26" s="4"/>
      <c r="D26" s="4"/>
      <c r="E26" s="78">
        <f>+C31</f>
        <v>2748</v>
      </c>
      <c r="F26" s="4"/>
      <c r="G26" s="4"/>
      <c r="H26" s="4"/>
      <c r="I26" s="4"/>
      <c r="J26" s="4"/>
      <c r="K26" s="198">
        <f>+K25/$E$34</f>
        <v>5.7086614173228352</v>
      </c>
    </row>
    <row r="27" spans="1:11" ht="15.75" thickBot="1">
      <c r="A27" s="4"/>
      <c r="B27" s="4"/>
      <c r="C27" s="4"/>
      <c r="D27" s="4"/>
      <c r="E27" s="198">
        <f>+E26/$E$34</f>
        <v>108.18897637795276</v>
      </c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23" t="s">
        <v>94</v>
      </c>
      <c r="F28" s="324"/>
      <c r="G28" s="13" t="s">
        <v>12</v>
      </c>
      <c r="H28" s="325">
        <f ca="1">NOW()</f>
        <v>43166.556318402778</v>
      </c>
      <c r="I28" s="325"/>
      <c r="J28" s="325"/>
      <c r="K28" s="326"/>
    </row>
    <row r="29" spans="1:11">
      <c r="A29" s="149" t="s">
        <v>13</v>
      </c>
      <c r="B29" s="50">
        <f t="shared" ref="B29:B34" si="0">+C29/$E$34</f>
        <v>100</v>
      </c>
      <c r="C29" s="89">
        <v>2540</v>
      </c>
      <c r="D29" s="150" t="s">
        <v>14</v>
      </c>
      <c r="E29" s="327">
        <v>2.4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50">
        <f t="shared" si="0"/>
        <v>41.666666666666679</v>
      </c>
      <c r="C30" s="18">
        <f>+C29/E29</f>
        <v>1058.3333333333335</v>
      </c>
      <c r="D30" s="17" t="s">
        <v>17</v>
      </c>
      <c r="E30" s="327">
        <v>1.33</v>
      </c>
      <c r="F30" s="328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50">
        <f t="shared" si="0"/>
        <v>108.18897637795276</v>
      </c>
      <c r="C31" s="19">
        <f>+C29+(2*E33)+20</f>
        <v>2748</v>
      </c>
      <c r="D31" s="17" t="s">
        <v>108</v>
      </c>
      <c r="E31" s="54">
        <f>+C29/E30</f>
        <v>1909.7744360902254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50">
        <f t="shared" si="0"/>
        <v>49.068241469816279</v>
      </c>
      <c r="C32" s="19">
        <f>+C30+(2*E33)</f>
        <v>1246.3333333333335</v>
      </c>
      <c r="D32" s="23" t="s">
        <v>24</v>
      </c>
      <c r="E32" s="79" t="s">
        <v>79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50">
        <f t="shared" si="0"/>
        <v>108.33333333333336</v>
      </c>
      <c r="C33" s="19">
        <f>SQRT((C29^2)+(C30^2))</f>
        <v>2751.666666666667</v>
      </c>
      <c r="D33" s="23" t="s">
        <v>26</v>
      </c>
      <c r="E33" s="53">
        <v>94</v>
      </c>
      <c r="F33" s="25"/>
      <c r="G33" s="26"/>
      <c r="H33" s="26"/>
      <c r="I33" s="26"/>
      <c r="J33" s="26"/>
      <c r="K33" s="27"/>
    </row>
    <row r="34" spans="1:11" ht="15.75" thickBot="1">
      <c r="A34" s="29" t="s">
        <v>27</v>
      </c>
      <c r="B34" s="61">
        <f t="shared" si="0"/>
        <v>5.7086614173228352</v>
      </c>
      <c r="C34" s="75">
        <v>145</v>
      </c>
      <c r="D34" s="32" t="s">
        <v>28</v>
      </c>
      <c r="E34" s="64">
        <v>25.4</v>
      </c>
      <c r="F34" s="34"/>
      <c r="G34" s="34"/>
      <c r="H34" s="34"/>
      <c r="I34" s="34"/>
      <c r="J34" s="34"/>
      <c r="K34" s="73" t="s">
        <v>66</v>
      </c>
    </row>
    <row r="36" spans="1:11">
      <c r="B36" s="118" t="s">
        <v>96</v>
      </c>
      <c r="C36" s="118"/>
      <c r="D36" s="118"/>
      <c r="E36" s="118"/>
      <c r="F36" s="118"/>
      <c r="G36" s="118"/>
      <c r="H36" s="118"/>
      <c r="I36" s="118"/>
      <c r="J36" s="118"/>
      <c r="K36" s="118"/>
    </row>
    <row r="37" spans="1:11">
      <c r="B37" s="131" t="s">
        <v>97</v>
      </c>
      <c r="C37" s="197" t="s">
        <v>98</v>
      </c>
      <c r="D37" s="197" t="s">
        <v>99</v>
      </c>
      <c r="E37" s="197" t="s">
        <v>100</v>
      </c>
      <c r="F37" s="197" t="s">
        <v>101</v>
      </c>
    </row>
    <row r="38" spans="1:11">
      <c r="B38" s="130">
        <v>2.4</v>
      </c>
      <c r="C38" s="136">
        <f t="shared" ref="C38:C43" si="1">+$C$30</f>
        <v>1058.3333333333335</v>
      </c>
      <c r="D38" s="86">
        <f t="shared" ref="D38:D43" si="2">+C38*B38</f>
        <v>2540.0000000000005</v>
      </c>
      <c r="E38" s="86">
        <f>C29-D38</f>
        <v>0</v>
      </c>
      <c r="F38" s="137">
        <f>+D38/C29</f>
        <v>1.0000000000000002</v>
      </c>
    </row>
    <row r="39" spans="1:11">
      <c r="B39" s="130">
        <v>2.37</v>
      </c>
      <c r="C39" s="136">
        <f t="shared" si="1"/>
        <v>1058.3333333333335</v>
      </c>
      <c r="D39" s="86">
        <f t="shared" si="2"/>
        <v>2508.2500000000005</v>
      </c>
      <c r="E39" s="86">
        <f>C29-D39</f>
        <v>31.749999999999545</v>
      </c>
      <c r="F39" s="137">
        <f>+D39/C29</f>
        <v>0.98750000000000016</v>
      </c>
    </row>
    <row r="40" spans="1:11">
      <c r="B40" s="130">
        <v>2.35</v>
      </c>
      <c r="C40" s="136">
        <f t="shared" si="1"/>
        <v>1058.3333333333335</v>
      </c>
      <c r="D40" s="86">
        <f t="shared" si="2"/>
        <v>2487.0833333333339</v>
      </c>
      <c r="E40" s="86">
        <f>C29-D40</f>
        <v>52.91666666666606</v>
      </c>
      <c r="F40" s="137">
        <f>+D40/C29</f>
        <v>0.97916666666666685</v>
      </c>
    </row>
    <row r="41" spans="1:11">
      <c r="B41" s="130">
        <v>1.85</v>
      </c>
      <c r="C41" s="136">
        <f t="shared" si="1"/>
        <v>1058.3333333333335</v>
      </c>
      <c r="D41" s="86">
        <f t="shared" si="2"/>
        <v>1957.916666666667</v>
      </c>
      <c r="E41" s="86">
        <f>C29-D41</f>
        <v>582.08333333333303</v>
      </c>
      <c r="F41" s="137">
        <f>+D41/C29</f>
        <v>0.77083333333333348</v>
      </c>
    </row>
    <row r="42" spans="1:11">
      <c r="B42" s="130">
        <v>1.78</v>
      </c>
      <c r="C42" s="136">
        <f t="shared" si="1"/>
        <v>1058.3333333333335</v>
      </c>
      <c r="D42" s="86">
        <f t="shared" si="2"/>
        <v>1883.8333333333337</v>
      </c>
      <c r="E42" s="86">
        <f>C29-D42</f>
        <v>656.16666666666629</v>
      </c>
      <c r="F42" s="137">
        <f>+D42/C29</f>
        <v>0.74166666666666681</v>
      </c>
    </row>
    <row r="43" spans="1:11">
      <c r="B43" s="130">
        <v>1.33</v>
      </c>
      <c r="C43" s="136">
        <f t="shared" si="1"/>
        <v>1058.3333333333335</v>
      </c>
      <c r="D43" s="86">
        <f t="shared" si="2"/>
        <v>1407.5833333333337</v>
      </c>
      <c r="E43" s="86">
        <f>C29-D43</f>
        <v>1132.4166666666663</v>
      </c>
      <c r="F43" s="137">
        <f>+D43/C29</f>
        <v>0.55416666666666681</v>
      </c>
      <c r="G43" s="147" t="s">
        <v>105</v>
      </c>
    </row>
    <row r="44" spans="1:11">
      <c r="B44" s="38"/>
      <c r="C44" s="37"/>
      <c r="D44" s="37"/>
      <c r="E44" s="80"/>
      <c r="F44" s="80"/>
      <c r="G44" s="81"/>
    </row>
    <row r="45" spans="1:11" ht="15.95" customHeight="1">
      <c r="B45" s="123" t="s">
        <v>30</v>
      </c>
      <c r="C45" s="127"/>
      <c r="D45" s="132"/>
      <c r="E45" s="132"/>
      <c r="F45" s="127"/>
      <c r="G45" s="127"/>
      <c r="H45" s="127"/>
      <c r="I45" s="127"/>
      <c r="J45" s="127"/>
      <c r="K45" s="127"/>
    </row>
    <row r="46" spans="1:11" ht="6.95" customHeight="1">
      <c r="B46" s="125"/>
      <c r="C46" s="4"/>
      <c r="D46" s="26"/>
      <c r="E46" s="26"/>
      <c r="F46" s="4"/>
    </row>
    <row r="47" spans="1:11" ht="15.95" customHeight="1">
      <c r="B47" s="177" t="s">
        <v>51</v>
      </c>
      <c r="D47" s="359" t="s">
        <v>31</v>
      </c>
      <c r="E47" s="359"/>
      <c r="F47" s="197" t="s">
        <v>9</v>
      </c>
      <c r="G47" s="197" t="s">
        <v>10</v>
      </c>
    </row>
    <row r="48" spans="1:11" ht="15.95" customHeight="1">
      <c r="B48" s="2" t="s">
        <v>52</v>
      </c>
      <c r="D48" s="178" t="s">
        <v>34</v>
      </c>
      <c r="E48" s="179" t="s">
        <v>109</v>
      </c>
      <c r="F48" s="121">
        <v>140</v>
      </c>
      <c r="G48" s="99">
        <f>F48*25.4</f>
        <v>3556</v>
      </c>
    </row>
    <row r="49" spans="2:11" ht="15.95" customHeight="1">
      <c r="B49" s="2" t="s">
        <v>136</v>
      </c>
      <c r="D49" s="178" t="s">
        <v>34</v>
      </c>
      <c r="E49" s="179" t="s">
        <v>109</v>
      </c>
      <c r="F49" s="121">
        <v>200</v>
      </c>
      <c r="G49" s="121">
        <f>F49*25.4</f>
        <v>5080</v>
      </c>
    </row>
    <row r="50" spans="2:11" ht="15.95" customHeight="1">
      <c r="B50" s="4" t="s">
        <v>140</v>
      </c>
      <c r="D50" s="178" t="s">
        <v>34</v>
      </c>
      <c r="E50" s="179" t="s">
        <v>109</v>
      </c>
      <c r="F50" s="121">
        <v>200</v>
      </c>
      <c r="G50" s="121">
        <f>F50*25.4</f>
        <v>5080</v>
      </c>
      <c r="H50" s="4" t="s">
        <v>36</v>
      </c>
    </row>
    <row r="52" spans="2:11">
      <c r="B52" s="118" t="s">
        <v>37</v>
      </c>
      <c r="C52" s="127"/>
      <c r="D52" s="127"/>
      <c r="E52" s="127"/>
      <c r="F52" s="127"/>
      <c r="G52" s="127"/>
      <c r="H52" s="127"/>
      <c r="I52" s="127"/>
      <c r="J52" s="127"/>
      <c r="K52" s="127"/>
    </row>
    <row r="53" spans="2:11">
      <c r="B53" s="36" t="s">
        <v>110</v>
      </c>
      <c r="C53" s="36"/>
      <c r="D53" s="36"/>
      <c r="E53" s="36"/>
      <c r="F53" s="36"/>
      <c r="G53" s="36"/>
      <c r="H53" s="36"/>
      <c r="I53" s="36"/>
      <c r="J53" s="36"/>
      <c r="K53" s="36"/>
    </row>
    <row r="54" spans="2:11">
      <c r="B54" s="36"/>
      <c r="C54" s="36"/>
      <c r="D54" s="36"/>
      <c r="E54" s="36"/>
      <c r="F54" s="36"/>
      <c r="G54" s="36"/>
      <c r="H54" s="36"/>
      <c r="I54" s="36"/>
      <c r="J54" s="36"/>
      <c r="K54" s="36"/>
    </row>
    <row r="55" spans="2:11">
      <c r="B55" s="118" t="s">
        <v>42</v>
      </c>
      <c r="C55" s="127"/>
      <c r="D55" s="127"/>
      <c r="E55" s="127"/>
      <c r="F55" s="127"/>
      <c r="G55" s="127"/>
      <c r="H55" s="127"/>
      <c r="I55" s="127"/>
      <c r="J55" s="127"/>
      <c r="K55" s="127"/>
    </row>
    <row r="56" spans="2:11">
      <c r="B56" s="2" t="s">
        <v>111</v>
      </c>
    </row>
    <row r="57" spans="2:11">
      <c r="B57" s="2" t="s">
        <v>112</v>
      </c>
    </row>
    <row r="58" spans="2:11" ht="6.95" customHeight="1"/>
    <row r="59" spans="2:11">
      <c r="B59" s="2" t="s">
        <v>113</v>
      </c>
    </row>
    <row r="60" spans="2:11">
      <c r="B60" s="66">
        <f>+C32+110</f>
        <v>1356.3333333333335</v>
      </c>
      <c r="C60" s="2" t="s">
        <v>45</v>
      </c>
      <c r="E60" s="66"/>
    </row>
    <row r="61" spans="2:11">
      <c r="B61" s="80">
        <f>((C31-(C32-188))/2)+110</f>
        <v>954.83333333333326</v>
      </c>
      <c r="C61" s="2" t="s">
        <v>46</v>
      </c>
      <c r="E61" s="37"/>
    </row>
    <row r="62" spans="2:11">
      <c r="B62" s="37">
        <v>330</v>
      </c>
      <c r="C62" s="2" t="s">
        <v>27</v>
      </c>
      <c r="E62" s="37"/>
    </row>
    <row r="63" spans="2:11">
      <c r="B63" s="38"/>
    </row>
  </sheetData>
  <mergeCells count="9">
    <mergeCell ref="D47:E47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ageMargins left="0.75000000000000011" right="0.75000000000000011" top="1" bottom="1" header="0.5" footer="0.5"/>
  <pageSetup paperSize="9" scale="68" orientation="portrait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62"/>
  <sheetViews>
    <sheetView showGridLines="0" workbookViewId="0">
      <selection activeCell="E30" sqref="E30:F30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114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+ROUND(B30,0)&amp;""""&amp;" "&amp;E30&amp;" Aspect Ratio"</f>
        <v>100" 2.4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B4" s="82"/>
      <c r="C4" s="82"/>
      <c r="D4" s="82"/>
      <c r="E4" s="82"/>
      <c r="F4" s="82"/>
      <c r="G4" s="82"/>
      <c r="H4" s="82"/>
      <c r="I4" s="82"/>
      <c r="J4" s="4"/>
      <c r="K4" s="4"/>
    </row>
    <row r="5" spans="1:11">
      <c r="A5" s="4"/>
      <c r="B5" s="82"/>
      <c r="C5" s="82"/>
      <c r="D5" s="82"/>
      <c r="E5" s="84">
        <f>+C30</f>
        <v>2540</v>
      </c>
      <c r="F5" s="82"/>
      <c r="G5" s="82"/>
      <c r="H5" s="82"/>
      <c r="I5" s="82"/>
      <c r="J5" s="4"/>
      <c r="K5" s="4"/>
    </row>
    <row r="6" spans="1:11">
      <c r="A6" s="4"/>
      <c r="B6" s="82"/>
      <c r="C6" s="82"/>
      <c r="D6" s="82"/>
      <c r="E6" s="85">
        <f>+E5/$E$35</f>
        <v>100</v>
      </c>
      <c r="F6" s="83"/>
      <c r="G6" s="82"/>
      <c r="H6" s="82"/>
      <c r="I6" s="82"/>
      <c r="J6" s="4"/>
      <c r="K6" s="4"/>
    </row>
    <row r="7" spans="1:11">
      <c r="A7" s="4"/>
      <c r="B7" s="82"/>
      <c r="C7" s="82"/>
      <c r="D7" s="82"/>
      <c r="E7" s="82"/>
      <c r="F7" s="82"/>
      <c r="G7" s="82"/>
      <c r="H7" s="82"/>
      <c r="I7" s="82"/>
      <c r="J7" s="4"/>
      <c r="K7" s="4"/>
    </row>
    <row r="8" spans="1:11">
      <c r="A8" s="4"/>
      <c r="B8" s="82"/>
      <c r="C8" s="82"/>
      <c r="D8" s="82"/>
      <c r="E8" s="82"/>
      <c r="F8" s="82"/>
      <c r="G8" s="82"/>
      <c r="H8" s="82"/>
      <c r="I8" s="82"/>
      <c r="J8" s="4"/>
      <c r="K8" s="4"/>
    </row>
    <row r="9" spans="1:11">
      <c r="A9" s="4"/>
      <c r="B9" s="82"/>
      <c r="C9" s="82"/>
      <c r="D9" s="83"/>
      <c r="E9" s="82"/>
      <c r="F9" s="82"/>
      <c r="G9" s="82"/>
      <c r="H9" s="82"/>
      <c r="I9" s="82"/>
      <c r="J9" s="4"/>
      <c r="K9" s="4"/>
    </row>
    <row r="10" spans="1:11">
      <c r="A10" s="4"/>
      <c r="B10" s="82"/>
      <c r="C10" s="82"/>
      <c r="D10" s="82"/>
      <c r="E10" s="82"/>
      <c r="F10" s="82"/>
      <c r="G10" s="82"/>
      <c r="H10" s="82"/>
      <c r="I10" s="82"/>
      <c r="J10" s="4"/>
      <c r="K10" s="4"/>
    </row>
    <row r="11" spans="1:11">
      <c r="A11" s="4"/>
      <c r="B11" s="82"/>
      <c r="C11" s="82"/>
      <c r="D11" s="84">
        <f>+C31</f>
        <v>1058.3333333333335</v>
      </c>
      <c r="E11" s="82"/>
      <c r="F11" s="83"/>
      <c r="G11" s="82"/>
      <c r="H11" s="82"/>
      <c r="I11" s="82"/>
      <c r="K11" s="4"/>
    </row>
    <row r="12" spans="1:11">
      <c r="A12" s="4"/>
      <c r="B12" s="82"/>
      <c r="C12" s="82"/>
      <c r="D12" s="90">
        <f>+D11/$E$35</f>
        <v>41.666666666666679</v>
      </c>
      <c r="E12" s="82"/>
      <c r="F12" s="82"/>
      <c r="G12" s="82"/>
      <c r="H12" s="82"/>
      <c r="I12" s="82"/>
      <c r="J12" s="4"/>
      <c r="K12" s="4"/>
    </row>
    <row r="13" spans="1:11">
      <c r="A13" s="4"/>
      <c r="B13" s="82"/>
      <c r="C13" s="82"/>
      <c r="D13" s="82"/>
      <c r="E13" s="82"/>
      <c r="F13" s="82"/>
      <c r="G13" s="82"/>
      <c r="H13" s="82"/>
      <c r="I13" s="82"/>
      <c r="J13" s="7">
        <f>+C33</f>
        <v>1246.3333333333335</v>
      </c>
      <c r="K13" s="4"/>
    </row>
    <row r="14" spans="1:11">
      <c r="A14" s="4"/>
      <c r="B14" s="82"/>
      <c r="C14" s="82"/>
      <c r="D14" s="82"/>
      <c r="E14" s="82"/>
      <c r="F14" s="84">
        <f>+C34</f>
        <v>2751.666666666667</v>
      </c>
      <c r="G14" s="82"/>
      <c r="H14" s="82"/>
      <c r="I14" s="82"/>
      <c r="J14" s="5">
        <f>+J13/$E$35</f>
        <v>49.068241469816279</v>
      </c>
      <c r="K14" s="4"/>
    </row>
    <row r="15" spans="1:11">
      <c r="A15" s="4"/>
      <c r="B15" s="82"/>
      <c r="C15" s="82"/>
      <c r="D15" s="82"/>
      <c r="E15" s="82"/>
      <c r="F15" s="90">
        <f>+F14/$E$35</f>
        <v>108.33333333333336</v>
      </c>
      <c r="G15" s="82"/>
      <c r="H15" s="82"/>
      <c r="I15" s="82"/>
      <c r="J15" s="4"/>
      <c r="K15" s="4"/>
    </row>
    <row r="16" spans="1:11">
      <c r="A16" s="4"/>
      <c r="B16" s="82"/>
      <c r="C16" s="82"/>
      <c r="D16" s="82"/>
      <c r="E16" s="82"/>
      <c r="F16" s="82"/>
      <c r="G16" s="82"/>
      <c r="H16" s="82"/>
      <c r="I16" s="82"/>
      <c r="J16" s="4"/>
      <c r="K16" s="4"/>
    </row>
    <row r="17" spans="1:11">
      <c r="A17" s="4"/>
      <c r="B17" s="82"/>
      <c r="C17" s="82"/>
      <c r="D17" s="82"/>
      <c r="E17" s="82"/>
      <c r="F17" s="82"/>
      <c r="G17" s="82"/>
      <c r="H17" s="82"/>
      <c r="I17" s="82"/>
      <c r="J17" s="4"/>
      <c r="K17" s="4"/>
    </row>
    <row r="18" spans="1:11">
      <c r="A18" s="4"/>
      <c r="B18" s="82"/>
      <c r="C18" s="82"/>
      <c r="D18" s="82"/>
      <c r="E18" s="82"/>
      <c r="F18" s="82"/>
      <c r="G18" s="82"/>
      <c r="H18" s="82"/>
      <c r="I18" s="82"/>
      <c r="J18" s="4"/>
      <c r="K18" s="4"/>
    </row>
    <row r="19" spans="1:11">
      <c r="A19" s="4"/>
      <c r="B19" s="82"/>
      <c r="C19" s="82"/>
      <c r="D19" s="82"/>
      <c r="E19" s="82"/>
      <c r="F19" s="82"/>
      <c r="G19" s="82"/>
      <c r="H19" s="82"/>
      <c r="I19" s="82"/>
      <c r="J19" s="4"/>
      <c r="K19" s="4"/>
    </row>
    <row r="20" spans="1:11">
      <c r="A20" s="4"/>
      <c r="B20" s="82"/>
      <c r="C20" s="82"/>
      <c r="D20" s="82"/>
      <c r="E20" s="82"/>
      <c r="F20" s="82"/>
      <c r="G20" s="82"/>
      <c r="H20" s="82"/>
      <c r="I20" s="82"/>
      <c r="J20" s="4"/>
      <c r="K20" s="4"/>
    </row>
    <row r="21" spans="1:11">
      <c r="A21" s="4"/>
      <c r="B21" s="82"/>
      <c r="C21" s="82"/>
      <c r="D21" s="82"/>
      <c r="E21" s="91"/>
      <c r="F21" s="82"/>
      <c r="G21" s="82"/>
      <c r="H21" s="82"/>
      <c r="I21" s="82"/>
      <c r="J21" s="4"/>
      <c r="K21" s="4"/>
    </row>
    <row r="22" spans="1:11">
      <c r="A22" s="4"/>
      <c r="B22" s="82"/>
      <c r="C22" s="82"/>
      <c r="D22" s="82"/>
      <c r="E22" s="92"/>
      <c r="F22" s="82"/>
      <c r="G22" s="82"/>
      <c r="H22" s="82"/>
      <c r="I22" s="82"/>
      <c r="J22" s="4"/>
      <c r="K22" s="4"/>
    </row>
    <row r="23" spans="1:11">
      <c r="A23" s="4"/>
      <c r="B23" s="82"/>
      <c r="C23" s="82"/>
      <c r="D23" s="82"/>
      <c r="E23" s="82"/>
      <c r="F23" s="82"/>
      <c r="G23" s="82"/>
      <c r="H23" s="82"/>
      <c r="I23" s="82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+C35</f>
        <v>225</v>
      </c>
    </row>
    <row r="26" spans="1:11">
      <c r="A26" s="4"/>
      <c r="B26" s="4"/>
      <c r="C26" s="4"/>
      <c r="D26" s="4"/>
      <c r="E26" s="78">
        <f>+C32</f>
        <v>2768</v>
      </c>
      <c r="F26" s="4"/>
      <c r="G26" s="4"/>
      <c r="H26" s="4"/>
      <c r="I26" s="4"/>
      <c r="J26" s="4"/>
      <c r="K26" s="198">
        <f>+K25/$E$35</f>
        <v>8.8582677165354333</v>
      </c>
    </row>
    <row r="27" spans="1:11">
      <c r="A27" s="4"/>
      <c r="B27" s="4"/>
      <c r="C27" s="4"/>
      <c r="D27" s="4"/>
      <c r="E27" s="43">
        <f>+E26/$E$35</f>
        <v>108.97637795275591</v>
      </c>
      <c r="F27" s="4"/>
      <c r="G27" s="4"/>
      <c r="H27" s="4"/>
      <c r="I27" s="4"/>
      <c r="J27" s="4"/>
    </row>
    <row r="28" spans="1:11" ht="15.75" thickBot="1">
      <c r="A28" s="4"/>
      <c r="B28" s="4"/>
      <c r="C28" s="4"/>
      <c r="D28" s="4"/>
      <c r="E28" s="43"/>
      <c r="F28" s="4"/>
      <c r="G28" s="4"/>
      <c r="H28" s="4"/>
      <c r="I28" s="4"/>
      <c r="J28" s="4"/>
    </row>
    <row r="29" spans="1:11">
      <c r="A29" s="10"/>
      <c r="B29" s="11" t="s">
        <v>9</v>
      </c>
      <c r="C29" s="12" t="s">
        <v>10</v>
      </c>
      <c r="D29" s="13" t="s">
        <v>11</v>
      </c>
      <c r="E29" s="323" t="str">
        <f>IF(C31&lt;=2800,"EN 4K or NEO","NEO-W")</f>
        <v>EN 4K or NEO</v>
      </c>
      <c r="F29" s="324"/>
      <c r="G29" s="13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49" t="s">
        <v>13</v>
      </c>
      <c r="B30" s="50">
        <f t="shared" ref="B30:B35" si="0">+C30/$E$35</f>
        <v>100</v>
      </c>
      <c r="C30" s="89">
        <v>2540</v>
      </c>
      <c r="D30" s="150" t="s">
        <v>14</v>
      </c>
      <c r="E30" s="327">
        <v>2.4</v>
      </c>
      <c r="F30" s="32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50">
        <f t="shared" si="0"/>
        <v>41.666666666666679</v>
      </c>
      <c r="C31" s="18">
        <f>+C30/E30</f>
        <v>1058.3333333333335</v>
      </c>
      <c r="D31" s="17" t="s">
        <v>17</v>
      </c>
      <c r="E31" s="327" t="s">
        <v>115</v>
      </c>
      <c r="F31" s="328"/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50">
        <f t="shared" si="0"/>
        <v>108.97637795275591</v>
      </c>
      <c r="C32" s="19">
        <f>+C30+(2*E34)+40</f>
        <v>2768</v>
      </c>
      <c r="D32" s="17" t="s">
        <v>108</v>
      </c>
      <c r="E32" s="20" t="s">
        <v>115</v>
      </c>
      <c r="F32" s="21" t="s">
        <v>22</v>
      </c>
      <c r="G32" s="4"/>
      <c r="H32" s="4"/>
      <c r="I32" s="4"/>
      <c r="J32" s="4"/>
      <c r="K32" s="22"/>
    </row>
    <row r="33" spans="1:11">
      <c r="A33" s="14" t="s">
        <v>23</v>
      </c>
      <c r="B33" s="50">
        <f t="shared" si="0"/>
        <v>49.068241469816279</v>
      </c>
      <c r="C33" s="19">
        <f>+C31+(2*E34)</f>
        <v>1246.3333333333335</v>
      </c>
      <c r="D33" s="23" t="s">
        <v>24</v>
      </c>
      <c r="E33" s="79" t="s">
        <v>79</v>
      </c>
      <c r="F33" s="25"/>
      <c r="G33" s="26"/>
      <c r="H33" s="26"/>
      <c r="I33" s="26"/>
      <c r="J33" s="26"/>
      <c r="K33" s="27"/>
    </row>
    <row r="34" spans="1:11">
      <c r="A34" s="14" t="s">
        <v>25</v>
      </c>
      <c r="B34" s="50">
        <f t="shared" si="0"/>
        <v>108.33333333333336</v>
      </c>
      <c r="C34" s="19">
        <f>SQRT((C30^2)+(C31^2))</f>
        <v>2751.666666666667</v>
      </c>
      <c r="D34" s="23" t="s">
        <v>26</v>
      </c>
      <c r="E34" s="53">
        <v>94</v>
      </c>
      <c r="F34" s="25"/>
      <c r="G34" s="26"/>
      <c r="H34" s="26"/>
      <c r="I34" s="26"/>
      <c r="J34" s="26"/>
      <c r="K34" s="27"/>
    </row>
    <row r="35" spans="1:11" ht="15.75" thickBot="1">
      <c r="A35" s="29" t="s">
        <v>27</v>
      </c>
      <c r="B35" s="61">
        <f t="shared" si="0"/>
        <v>8.8582677165354333</v>
      </c>
      <c r="C35" s="75">
        <v>225</v>
      </c>
      <c r="D35" s="32" t="s">
        <v>28</v>
      </c>
      <c r="E35" s="64">
        <v>25.4</v>
      </c>
      <c r="F35" s="34"/>
      <c r="G35" s="34"/>
      <c r="H35" s="34"/>
      <c r="I35" s="34"/>
      <c r="J35" s="34"/>
      <c r="K35" s="73" t="s">
        <v>66</v>
      </c>
    </row>
    <row r="37" spans="1:11">
      <c r="B37" s="118" t="s">
        <v>96</v>
      </c>
      <c r="C37" s="118"/>
      <c r="D37" s="118"/>
      <c r="E37" s="118"/>
      <c r="F37" s="118"/>
      <c r="G37" s="118"/>
      <c r="H37" s="118"/>
      <c r="I37" s="118"/>
      <c r="J37" s="118"/>
      <c r="K37" s="118"/>
    </row>
    <row r="38" spans="1:11">
      <c r="B38" s="131" t="s">
        <v>97</v>
      </c>
      <c r="C38" s="146" t="s">
        <v>98</v>
      </c>
      <c r="D38" s="131" t="s">
        <v>99</v>
      </c>
      <c r="E38" s="146" t="s">
        <v>116</v>
      </c>
      <c r="F38" s="146" t="s">
        <v>100</v>
      </c>
      <c r="G38" s="146" t="s">
        <v>101</v>
      </c>
    </row>
    <row r="39" spans="1:11">
      <c r="B39" s="135">
        <v>2.4</v>
      </c>
      <c r="C39" s="136">
        <f t="shared" ref="C39:C44" si="1">+$C$31</f>
        <v>1058.3333333333335</v>
      </c>
      <c r="D39" s="136">
        <f t="shared" ref="D39:D44" si="2">+$E$5</f>
        <v>2540</v>
      </c>
      <c r="E39" s="86">
        <f t="shared" ref="E39:E44" si="3">+C39*B39</f>
        <v>2540.0000000000005</v>
      </c>
      <c r="F39" s="86">
        <f t="shared" ref="F39:F44" si="4">+D39-E39</f>
        <v>0</v>
      </c>
      <c r="G39" s="137">
        <f t="shared" ref="G39:G44" si="5">+E39/D39</f>
        <v>1.0000000000000002</v>
      </c>
    </row>
    <row r="40" spans="1:11">
      <c r="B40" s="135">
        <v>2.37</v>
      </c>
      <c r="C40" s="136">
        <f t="shared" si="1"/>
        <v>1058.3333333333335</v>
      </c>
      <c r="D40" s="136">
        <f t="shared" si="2"/>
        <v>2540</v>
      </c>
      <c r="E40" s="86">
        <f t="shared" si="3"/>
        <v>2508.2500000000005</v>
      </c>
      <c r="F40" s="86">
        <f t="shared" si="4"/>
        <v>31.749999999999545</v>
      </c>
      <c r="G40" s="137">
        <f t="shared" si="5"/>
        <v>0.98750000000000016</v>
      </c>
    </row>
    <row r="41" spans="1:11">
      <c r="B41" s="135">
        <v>2.35</v>
      </c>
      <c r="C41" s="136">
        <f t="shared" si="1"/>
        <v>1058.3333333333335</v>
      </c>
      <c r="D41" s="136">
        <f t="shared" si="2"/>
        <v>2540</v>
      </c>
      <c r="E41" s="86">
        <f t="shared" si="3"/>
        <v>2487.0833333333339</v>
      </c>
      <c r="F41" s="86">
        <f t="shared" si="4"/>
        <v>52.91666666666606</v>
      </c>
      <c r="G41" s="137">
        <f t="shared" si="5"/>
        <v>0.97916666666666685</v>
      </c>
    </row>
    <row r="42" spans="1:11">
      <c r="B42" s="135">
        <v>1.85</v>
      </c>
      <c r="C42" s="136">
        <f t="shared" si="1"/>
        <v>1058.3333333333335</v>
      </c>
      <c r="D42" s="136">
        <f t="shared" si="2"/>
        <v>2540</v>
      </c>
      <c r="E42" s="86">
        <f t="shared" si="3"/>
        <v>1957.916666666667</v>
      </c>
      <c r="F42" s="86">
        <f t="shared" si="4"/>
        <v>582.08333333333303</v>
      </c>
      <c r="G42" s="137">
        <f t="shared" si="5"/>
        <v>0.77083333333333348</v>
      </c>
    </row>
    <row r="43" spans="1:11">
      <c r="B43" s="135">
        <v>1.78</v>
      </c>
      <c r="C43" s="136">
        <f t="shared" si="1"/>
        <v>1058.3333333333335</v>
      </c>
      <c r="D43" s="136">
        <f t="shared" si="2"/>
        <v>2540</v>
      </c>
      <c r="E43" s="86">
        <f t="shared" si="3"/>
        <v>1883.8333333333337</v>
      </c>
      <c r="F43" s="86">
        <f t="shared" si="4"/>
        <v>656.16666666666629</v>
      </c>
      <c r="G43" s="137">
        <f t="shared" si="5"/>
        <v>0.74166666666666681</v>
      </c>
    </row>
    <row r="44" spans="1:11">
      <c r="B44" s="135">
        <v>1.33</v>
      </c>
      <c r="C44" s="136">
        <f t="shared" si="1"/>
        <v>1058.3333333333335</v>
      </c>
      <c r="D44" s="136">
        <f t="shared" si="2"/>
        <v>2540</v>
      </c>
      <c r="E44" s="86">
        <f t="shared" si="3"/>
        <v>1407.5833333333337</v>
      </c>
      <c r="F44" s="86">
        <f t="shared" si="4"/>
        <v>1132.4166666666663</v>
      </c>
      <c r="G44" s="137">
        <f t="shared" si="5"/>
        <v>0.55416666666666681</v>
      </c>
      <c r="H44" s="134" t="s">
        <v>105</v>
      </c>
    </row>
    <row r="46" spans="1:11" ht="15.95" customHeight="1">
      <c r="B46" s="123" t="s">
        <v>30</v>
      </c>
      <c r="C46" s="127"/>
      <c r="D46" s="132"/>
      <c r="E46" s="132"/>
      <c r="F46" s="127"/>
      <c r="G46" s="127"/>
      <c r="H46" s="127"/>
      <c r="I46" s="127"/>
      <c r="J46" s="127"/>
      <c r="K46" s="127"/>
    </row>
    <row r="47" spans="1:11" ht="6.95" customHeight="1">
      <c r="B47" s="125"/>
      <c r="C47" s="4"/>
      <c r="D47" s="26"/>
      <c r="E47" s="26"/>
      <c r="F47" s="4"/>
    </row>
    <row r="48" spans="1:11" ht="15.95" customHeight="1">
      <c r="B48" s="119"/>
      <c r="C48" s="133" t="s">
        <v>31</v>
      </c>
      <c r="D48" s="133" t="s">
        <v>9</v>
      </c>
      <c r="E48" s="133" t="s">
        <v>10</v>
      </c>
    </row>
    <row r="49" spans="2:11" ht="15.95" customHeight="1">
      <c r="B49" s="119" t="s">
        <v>34</v>
      </c>
      <c r="C49" s="122" t="s">
        <v>35</v>
      </c>
      <c r="D49" s="121">
        <v>180</v>
      </c>
      <c r="E49" s="121">
        <f>D49*25.4</f>
        <v>4572</v>
      </c>
      <c r="F49" s="4"/>
      <c r="G49" s="4" t="s">
        <v>36</v>
      </c>
    </row>
    <row r="51" spans="2:11">
      <c r="B51" s="118" t="s">
        <v>37</v>
      </c>
      <c r="C51" s="127"/>
      <c r="D51" s="127"/>
      <c r="E51" s="127"/>
      <c r="F51" s="127"/>
      <c r="G51" s="127"/>
      <c r="H51" s="127"/>
      <c r="I51" s="127"/>
      <c r="J51" s="127"/>
      <c r="K51" s="127"/>
    </row>
    <row r="52" spans="2:11">
      <c r="B52" s="36" t="s">
        <v>110</v>
      </c>
      <c r="C52" s="36"/>
      <c r="D52" s="36"/>
      <c r="E52" s="36"/>
      <c r="F52" s="36"/>
      <c r="G52" s="36"/>
      <c r="H52" s="36"/>
      <c r="I52" s="36"/>
      <c r="J52" s="36"/>
      <c r="K52" s="36"/>
    </row>
    <row r="53" spans="2:11">
      <c r="B53" s="36"/>
      <c r="C53" s="36"/>
      <c r="D53" s="36"/>
      <c r="E53" s="36"/>
      <c r="F53" s="36"/>
      <c r="G53" s="36"/>
      <c r="H53" s="36"/>
      <c r="I53" s="36"/>
      <c r="J53" s="36"/>
      <c r="K53" s="36"/>
    </row>
    <row r="54" spans="2:11">
      <c r="B54" s="118" t="s">
        <v>117</v>
      </c>
      <c r="C54" s="127"/>
      <c r="D54" s="127"/>
      <c r="E54" s="127"/>
      <c r="F54" s="127"/>
      <c r="G54" s="127"/>
      <c r="H54" s="127"/>
      <c r="I54" s="127"/>
      <c r="J54" s="127"/>
      <c r="K54" s="127"/>
    </row>
    <row r="55" spans="2:11">
      <c r="B55" s="2" t="s">
        <v>118</v>
      </c>
    </row>
    <row r="56" spans="2:11">
      <c r="B56" s="2" t="s">
        <v>112</v>
      </c>
    </row>
    <row r="58" spans="2:11">
      <c r="B58" s="2" t="s">
        <v>70</v>
      </c>
    </row>
    <row r="59" spans="2:11">
      <c r="B59" s="66">
        <f>+C32/2+350</f>
        <v>1734</v>
      </c>
      <c r="C59" s="2" t="s">
        <v>45</v>
      </c>
      <c r="E59" s="66"/>
    </row>
    <row r="60" spans="2:11">
      <c r="B60" s="66">
        <f>+C33+100</f>
        <v>1346.3333333333335</v>
      </c>
      <c r="C60" s="2" t="s">
        <v>46</v>
      </c>
      <c r="E60" s="66"/>
    </row>
    <row r="61" spans="2:11">
      <c r="B61" s="66">
        <v>370</v>
      </c>
      <c r="C61" s="2" t="s">
        <v>27</v>
      </c>
      <c r="E61" s="66"/>
    </row>
    <row r="62" spans="2:11">
      <c r="B62" s="38"/>
    </row>
  </sheetData>
  <mergeCells count="8">
    <mergeCell ref="E31:F31"/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ageMargins left="0.75000000000000011" right="0.75000000000000011" top="1" bottom="1" header="0.5" footer="0.5"/>
  <pageSetup paperSize="9" scale="68" orientation="portrait" horizontalDpi="4294967292" verticalDpi="429496729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70"/>
  <sheetViews>
    <sheetView showGridLines="0" workbookViewId="0">
      <selection activeCell="E30" sqref="E30:F30"/>
    </sheetView>
  </sheetViews>
  <sheetFormatPr defaultColWidth="10.875" defaultRowHeight="15"/>
  <cols>
    <col min="1" max="1" width="10" style="2" customWidth="1"/>
    <col min="2" max="5" width="10.875" style="2"/>
    <col min="6" max="8" width="11.625" style="2" bestFit="1" customWidth="1"/>
    <col min="9" max="16384" width="10.875" style="2"/>
  </cols>
  <sheetData>
    <row r="1" spans="1:11" ht="24.95" customHeight="1">
      <c r="A1" s="321" t="s">
        <v>119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36.950000000000003" customHeight="1">
      <c r="A2" s="322" t="str">
        <f>+ROUND(B30,0)&amp;""""&amp;" "&amp;E30&amp;" Aspect Ratio"</f>
        <v>100" 2.35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ht="9" customHeight="1">
      <c r="A4" s="4"/>
      <c r="B4" s="76"/>
      <c r="C4" s="21"/>
      <c r="D4" s="21"/>
      <c r="E4" s="4"/>
      <c r="F4" s="4"/>
      <c r="G4" s="21"/>
      <c r="H4" s="21"/>
      <c r="I4" s="76"/>
      <c r="J4" s="4"/>
      <c r="K4" s="4"/>
    </row>
    <row r="5" spans="1:11">
      <c r="A5" s="4"/>
      <c r="B5" s="76"/>
      <c r="C5" s="76"/>
      <c r="D5" s="21"/>
      <c r="G5" s="21"/>
      <c r="H5" s="76"/>
      <c r="I5" s="76"/>
      <c r="J5" s="4"/>
      <c r="K5" s="4"/>
    </row>
    <row r="6" spans="1:11">
      <c r="A6" s="4"/>
      <c r="B6" s="76"/>
      <c r="C6" s="76"/>
      <c r="D6" s="21"/>
      <c r="G6" s="21"/>
      <c r="H6" s="76"/>
      <c r="I6" s="76"/>
      <c r="J6" s="4"/>
      <c r="K6" s="4"/>
    </row>
    <row r="7" spans="1:11">
      <c r="A7" s="4"/>
      <c r="B7" s="76"/>
      <c r="C7" s="76"/>
      <c r="D7" s="21"/>
      <c r="F7" s="87">
        <f>+C30</f>
        <v>2540</v>
      </c>
      <c r="G7" s="21"/>
      <c r="H7" s="76"/>
      <c r="I7" s="76"/>
      <c r="J7" s="4"/>
      <c r="K7" s="4"/>
    </row>
    <row r="8" spans="1:11">
      <c r="A8" s="4"/>
      <c r="B8" s="76"/>
      <c r="C8" s="76"/>
      <c r="D8" s="21"/>
      <c r="F8" s="88">
        <f>+F7/$E$35</f>
        <v>100</v>
      </c>
      <c r="G8" s="21"/>
      <c r="H8" s="76"/>
      <c r="I8" s="76"/>
      <c r="J8" s="4"/>
      <c r="K8" s="4"/>
    </row>
    <row r="9" spans="1:11">
      <c r="A9" s="4"/>
      <c r="B9" s="76"/>
      <c r="C9" s="76"/>
      <c r="D9" s="21"/>
      <c r="E9" s="4"/>
      <c r="F9" s="4"/>
      <c r="G9" s="21"/>
      <c r="H9" s="76"/>
      <c r="I9" s="76"/>
      <c r="J9" s="4"/>
      <c r="K9" s="4"/>
    </row>
    <row r="10" spans="1:11">
      <c r="A10" s="4"/>
      <c r="B10" s="76"/>
      <c r="C10" s="76"/>
      <c r="D10" s="21"/>
      <c r="E10" s="4"/>
      <c r="F10" s="4"/>
      <c r="G10" s="21"/>
      <c r="H10" s="76"/>
      <c r="I10" s="76"/>
      <c r="J10" s="4"/>
      <c r="K10" s="4"/>
    </row>
    <row r="11" spans="1:11">
      <c r="A11" s="4"/>
      <c r="B11" s="76"/>
      <c r="C11" s="76"/>
      <c r="D11" s="21"/>
      <c r="E11" s="87">
        <f>+C31</f>
        <v>1080.8510638297871</v>
      </c>
      <c r="F11" s="192"/>
      <c r="G11" s="21"/>
      <c r="H11" s="76"/>
      <c r="I11" s="76"/>
      <c r="K11" s="4"/>
    </row>
    <row r="12" spans="1:11">
      <c r="A12" s="4"/>
      <c r="B12" s="76"/>
      <c r="C12" s="76"/>
      <c r="D12" s="21"/>
      <c r="E12" s="88">
        <f>+E11/$E$35</f>
        <v>42.553191489361701</v>
      </c>
      <c r="F12" s="5"/>
      <c r="G12" s="87">
        <f>+C34</f>
        <v>2760.4055901591678</v>
      </c>
      <c r="H12" s="76"/>
      <c r="I12" s="76"/>
      <c r="J12" s="4"/>
      <c r="K12" s="4"/>
    </row>
    <row r="13" spans="1:11">
      <c r="A13" s="4"/>
      <c r="B13" s="76"/>
      <c r="C13" s="76"/>
      <c r="D13" s="21"/>
      <c r="E13" s="4"/>
      <c r="F13" s="4"/>
      <c r="G13" s="88">
        <f>+G12/$E$35</f>
        <v>108.67738543933731</v>
      </c>
      <c r="H13" s="76"/>
      <c r="I13" s="76"/>
      <c r="J13" s="199">
        <f>+C33</f>
        <v>1268.8510638297871</v>
      </c>
      <c r="K13" s="4"/>
    </row>
    <row r="14" spans="1:11">
      <c r="A14" s="4"/>
      <c r="B14" s="76"/>
      <c r="C14" s="76"/>
      <c r="D14" s="21"/>
      <c r="E14" s="4"/>
      <c r="H14" s="76"/>
      <c r="I14" s="76"/>
      <c r="J14" s="43">
        <f>+J13/$E$35</f>
        <v>49.954766292511309</v>
      </c>
      <c r="K14" s="4"/>
    </row>
    <row r="15" spans="1:11">
      <c r="A15" s="4"/>
      <c r="B15" s="76"/>
      <c r="C15" s="76"/>
      <c r="D15" s="21"/>
      <c r="E15" s="4"/>
      <c r="G15" s="21"/>
      <c r="H15" s="76"/>
      <c r="I15" s="76"/>
      <c r="J15" s="4"/>
      <c r="K15" s="4"/>
    </row>
    <row r="16" spans="1:11">
      <c r="A16" s="4"/>
      <c r="B16" s="76"/>
      <c r="C16" s="76"/>
      <c r="D16" s="21"/>
      <c r="E16" s="4"/>
      <c r="F16" s="4"/>
      <c r="G16" s="21"/>
      <c r="H16" s="76"/>
      <c r="I16" s="76"/>
      <c r="J16" s="4"/>
      <c r="K16" s="4"/>
    </row>
    <row r="17" spans="1:11">
      <c r="A17" s="4"/>
      <c r="B17" s="76"/>
      <c r="C17" s="76"/>
      <c r="D17" s="21"/>
      <c r="E17" s="4"/>
      <c r="F17" s="4"/>
      <c r="G17" s="21"/>
      <c r="H17" s="76"/>
      <c r="I17" s="76"/>
      <c r="J17" s="4"/>
      <c r="K17" s="4"/>
    </row>
    <row r="18" spans="1:11">
      <c r="A18" s="4"/>
      <c r="B18" s="76"/>
      <c r="C18" s="76"/>
      <c r="D18" s="21"/>
      <c r="E18" s="4"/>
      <c r="F18" s="4"/>
      <c r="G18" s="21"/>
      <c r="H18" s="76"/>
      <c r="I18" s="76"/>
      <c r="J18" s="4"/>
      <c r="K18" s="4"/>
    </row>
    <row r="19" spans="1:11">
      <c r="A19" s="4"/>
      <c r="B19" s="76"/>
      <c r="C19" s="76"/>
      <c r="D19" s="21"/>
      <c r="E19" s="4"/>
      <c r="F19" s="4"/>
      <c r="G19" s="21"/>
      <c r="H19" s="76"/>
      <c r="I19" s="76"/>
      <c r="J19" s="4"/>
      <c r="K19" s="4"/>
    </row>
    <row r="20" spans="1:11">
      <c r="A20" s="4"/>
      <c r="B20" s="76"/>
      <c r="C20" s="76"/>
      <c r="D20" s="21"/>
      <c r="E20" s="381">
        <f>+E32</f>
        <v>1909.7744360902254</v>
      </c>
      <c r="F20" s="381"/>
      <c r="G20" s="21"/>
      <c r="H20" s="76"/>
      <c r="I20" s="76"/>
      <c r="J20" s="4"/>
      <c r="K20" s="4"/>
    </row>
    <row r="21" spans="1:11">
      <c r="A21" s="4"/>
      <c r="B21" s="76"/>
      <c r="C21" s="76"/>
      <c r="D21" s="21"/>
      <c r="E21" s="380">
        <f>+E20/$E$35</f>
        <v>75.187969924812023</v>
      </c>
      <c r="F21" s="380"/>
      <c r="G21" s="21"/>
      <c r="H21" s="76"/>
      <c r="I21" s="76"/>
      <c r="J21" s="4"/>
      <c r="K21" s="4"/>
    </row>
    <row r="22" spans="1:11">
      <c r="A22" s="4"/>
      <c r="B22" s="76"/>
      <c r="C22" s="76"/>
      <c r="D22" s="21"/>
      <c r="G22" s="21"/>
      <c r="H22" s="76"/>
      <c r="I22" s="76"/>
      <c r="J22" s="4"/>
      <c r="K22" s="4"/>
    </row>
    <row r="23" spans="1:11" ht="8.1" customHeight="1">
      <c r="A23" s="4"/>
      <c r="B23" s="76"/>
      <c r="C23" s="21"/>
      <c r="D23" s="21"/>
      <c r="E23" s="4"/>
      <c r="F23" s="4"/>
      <c r="G23" s="21"/>
      <c r="H23" s="21"/>
      <c r="I23" s="76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87">
        <f>+C35</f>
        <v>247</v>
      </c>
    </row>
    <row r="26" spans="1:11">
      <c r="A26" s="4"/>
      <c r="B26" s="4"/>
      <c r="C26" s="4"/>
      <c r="D26" s="4"/>
      <c r="E26" s="78">
        <f>+C32</f>
        <v>2732</v>
      </c>
      <c r="F26" s="4"/>
      <c r="G26" s="4"/>
      <c r="H26" s="4"/>
      <c r="I26" s="4"/>
      <c r="J26" s="4"/>
      <c r="K26" s="88">
        <f>+K25/$E$35</f>
        <v>9.7244094488188981</v>
      </c>
    </row>
    <row r="27" spans="1:11">
      <c r="A27" s="4"/>
      <c r="B27" s="4"/>
      <c r="C27" s="4"/>
      <c r="D27" s="4"/>
      <c r="E27" s="198">
        <f>+E26/$E$35</f>
        <v>107.55905511811024</v>
      </c>
      <c r="F27" s="4"/>
      <c r="G27" s="4"/>
      <c r="H27" s="4"/>
      <c r="I27" s="4"/>
      <c r="J27" s="4"/>
    </row>
    <row r="28" spans="1:11" ht="15.75" thickBot="1">
      <c r="A28" s="4"/>
      <c r="B28" s="4"/>
      <c r="C28" s="4"/>
      <c r="D28" s="4"/>
      <c r="E28" s="198"/>
      <c r="F28" s="4"/>
      <c r="G28" s="4"/>
      <c r="H28" s="4"/>
      <c r="I28" s="4"/>
      <c r="J28" s="4"/>
    </row>
    <row r="29" spans="1:11">
      <c r="A29" s="10"/>
      <c r="B29" s="11" t="s">
        <v>9</v>
      </c>
      <c r="C29" s="12" t="s">
        <v>10</v>
      </c>
      <c r="D29" s="13" t="s">
        <v>11</v>
      </c>
      <c r="E29" s="323" t="str">
        <f>IF(C31&lt;=2800,"EN 4K or NEO","NEO-W")</f>
        <v>EN 4K or NEO</v>
      </c>
      <c r="F29" s="324"/>
      <c r="G29" s="13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49" t="s">
        <v>13</v>
      </c>
      <c r="B30" s="15">
        <f t="shared" ref="B30:B35" si="0">+C30/$E$35</f>
        <v>100</v>
      </c>
      <c r="C30" s="89">
        <v>2540</v>
      </c>
      <c r="D30" s="150" t="s">
        <v>14</v>
      </c>
      <c r="E30" s="327">
        <v>2.35</v>
      </c>
      <c r="F30" s="328"/>
      <c r="G30" s="17" t="s">
        <v>15</v>
      </c>
      <c r="H30" s="329"/>
      <c r="I30" s="329"/>
      <c r="J30" s="329"/>
      <c r="K30" s="330"/>
    </row>
    <row r="31" spans="1:11">
      <c r="A31" s="14" t="s">
        <v>16</v>
      </c>
      <c r="B31" s="15">
        <f t="shared" si="0"/>
        <v>42.553191489361701</v>
      </c>
      <c r="C31" s="53">
        <f>+C30/E30</f>
        <v>1080.8510638297871</v>
      </c>
      <c r="D31" s="17" t="s">
        <v>17</v>
      </c>
      <c r="E31" s="360">
        <v>1.33</v>
      </c>
      <c r="F31" s="361"/>
      <c r="G31" s="17" t="s">
        <v>19</v>
      </c>
      <c r="H31" s="318"/>
      <c r="I31" s="319"/>
      <c r="J31" s="319"/>
      <c r="K31" s="320"/>
    </row>
    <row r="32" spans="1:11">
      <c r="A32" s="14" t="s">
        <v>20</v>
      </c>
      <c r="B32" s="15">
        <f t="shared" si="0"/>
        <v>107.55905511811024</v>
      </c>
      <c r="C32" s="54">
        <f>+C30+(2*E34)+4</f>
        <v>2732</v>
      </c>
      <c r="D32" s="17" t="s">
        <v>108</v>
      </c>
      <c r="E32" s="54">
        <f>+C30/E31</f>
        <v>1909.7744360902254</v>
      </c>
      <c r="F32" s="21" t="s">
        <v>22</v>
      </c>
      <c r="G32" s="4"/>
      <c r="H32" s="4"/>
      <c r="I32" s="4"/>
      <c r="J32" s="4"/>
      <c r="K32" s="22"/>
    </row>
    <row r="33" spans="1:11">
      <c r="A33" s="14" t="s">
        <v>23</v>
      </c>
      <c r="B33" s="15">
        <f t="shared" si="0"/>
        <v>49.954766292511309</v>
      </c>
      <c r="C33" s="54">
        <f>+C31+(2*E34)</f>
        <v>1268.8510638297871</v>
      </c>
      <c r="D33" s="23" t="s">
        <v>24</v>
      </c>
      <c r="E33" s="93" t="s">
        <v>79</v>
      </c>
      <c r="F33" s="25"/>
      <c r="G33" s="26"/>
      <c r="H33" s="26"/>
      <c r="I33" s="26"/>
      <c r="J33" s="26"/>
      <c r="K33" s="27"/>
    </row>
    <row r="34" spans="1:11">
      <c r="A34" s="14" t="s">
        <v>25</v>
      </c>
      <c r="B34" s="15">
        <f t="shared" si="0"/>
        <v>108.67738543933731</v>
      </c>
      <c r="C34" s="54">
        <f>SQRT((C30^2)+(C31^2))</f>
        <v>2760.4055901591678</v>
      </c>
      <c r="D34" s="23" t="s">
        <v>26</v>
      </c>
      <c r="E34" s="59">
        <v>94</v>
      </c>
      <c r="F34" s="25"/>
      <c r="G34" s="26"/>
      <c r="H34" s="26"/>
      <c r="I34" s="26"/>
      <c r="J34" s="26"/>
      <c r="K34" s="27"/>
    </row>
    <row r="35" spans="1:11" ht="15.75" thickBot="1">
      <c r="A35" s="29" t="s">
        <v>27</v>
      </c>
      <c r="B35" s="30">
        <f t="shared" si="0"/>
        <v>9.7244094488188981</v>
      </c>
      <c r="C35" s="62">
        <f>VLOOKUP(B30,B40:D50,2)</f>
        <v>247</v>
      </c>
      <c r="D35" s="32" t="s">
        <v>28</v>
      </c>
      <c r="E35" s="64">
        <v>25.4</v>
      </c>
      <c r="F35" s="34"/>
      <c r="G35" s="34"/>
      <c r="H35" s="34"/>
      <c r="I35" s="34"/>
      <c r="J35" s="34"/>
      <c r="K35" s="73" t="s">
        <v>66</v>
      </c>
    </row>
    <row r="38" spans="1:11">
      <c r="B38" s="379" t="s">
        <v>71</v>
      </c>
      <c r="C38" s="379"/>
      <c r="E38" s="118" t="s">
        <v>96</v>
      </c>
      <c r="F38" s="127"/>
      <c r="G38" s="127"/>
      <c r="H38" s="127"/>
      <c r="I38" s="127"/>
      <c r="J38" s="127"/>
      <c r="K38" s="127"/>
    </row>
    <row r="39" spans="1:11">
      <c r="B39" s="126" t="s">
        <v>120</v>
      </c>
      <c r="C39" s="126" t="s">
        <v>27</v>
      </c>
    </row>
    <row r="40" spans="1:11">
      <c r="B40" s="120">
        <v>80</v>
      </c>
      <c r="C40" s="129">
        <v>223</v>
      </c>
      <c r="E40" s="145" t="s">
        <v>97</v>
      </c>
      <c r="F40" s="145" t="s">
        <v>98</v>
      </c>
      <c r="G40" s="145" t="s">
        <v>99</v>
      </c>
      <c r="H40" s="145" t="s">
        <v>121</v>
      </c>
      <c r="I40" s="145" t="s">
        <v>101</v>
      </c>
    </row>
    <row r="41" spans="1:11">
      <c r="B41" s="120">
        <v>90</v>
      </c>
      <c r="C41" s="129">
        <v>234</v>
      </c>
      <c r="E41" s="140">
        <v>2.4</v>
      </c>
      <c r="F41" s="138">
        <f t="shared" ref="F41:F46" si="1">+$C$31</f>
        <v>1080.8510638297871</v>
      </c>
      <c r="G41" s="138">
        <f t="shared" ref="G41:G46" si="2">F41*E41</f>
        <v>2594.0425531914889</v>
      </c>
      <c r="H41" s="138">
        <f>C30-G41</f>
        <v>-54.042553191488878</v>
      </c>
      <c r="I41" s="139">
        <v>1</v>
      </c>
    </row>
    <row r="42" spans="1:11">
      <c r="B42" s="120">
        <v>100</v>
      </c>
      <c r="C42" s="129">
        <v>247</v>
      </c>
      <c r="E42" s="140">
        <v>2.37</v>
      </c>
      <c r="F42" s="138">
        <f t="shared" si="1"/>
        <v>1080.8510638297871</v>
      </c>
      <c r="G42" s="138">
        <f t="shared" si="2"/>
        <v>2561.6170212765956</v>
      </c>
      <c r="H42" s="138">
        <f>C30-G42</f>
        <v>-21.617021276595551</v>
      </c>
      <c r="I42" s="139">
        <v>0.99</v>
      </c>
    </row>
    <row r="43" spans="1:11">
      <c r="B43" s="120">
        <v>110</v>
      </c>
      <c r="C43" s="129">
        <v>250</v>
      </c>
      <c r="E43" s="140">
        <v>2.35</v>
      </c>
      <c r="F43" s="138">
        <f t="shared" si="1"/>
        <v>1080.8510638297871</v>
      </c>
      <c r="G43" s="138">
        <f t="shared" si="2"/>
        <v>2540</v>
      </c>
      <c r="H43" s="138">
        <f>C30-G43</f>
        <v>0</v>
      </c>
      <c r="I43" s="139">
        <v>0.98</v>
      </c>
    </row>
    <row r="44" spans="1:11">
      <c r="B44" s="120">
        <v>120</v>
      </c>
      <c r="C44" s="129">
        <v>263</v>
      </c>
      <c r="E44" s="140">
        <v>1.85</v>
      </c>
      <c r="F44" s="138">
        <f t="shared" si="1"/>
        <v>1080.8510638297871</v>
      </c>
      <c r="G44" s="138">
        <f t="shared" si="2"/>
        <v>1999.5744680851062</v>
      </c>
      <c r="H44" s="138">
        <f>C30-G44</f>
        <v>540.42553191489378</v>
      </c>
      <c r="I44" s="139">
        <v>0.77</v>
      </c>
    </row>
    <row r="45" spans="1:11">
      <c r="B45" s="120">
        <v>130</v>
      </c>
      <c r="C45" s="129">
        <v>277</v>
      </c>
      <c r="E45" s="140">
        <v>1.78</v>
      </c>
      <c r="F45" s="138">
        <f t="shared" si="1"/>
        <v>1080.8510638297871</v>
      </c>
      <c r="G45" s="138">
        <f t="shared" si="2"/>
        <v>1923.9148936170211</v>
      </c>
      <c r="H45" s="138">
        <f>C30-G45</f>
        <v>616.08510638297889</v>
      </c>
      <c r="I45" s="139">
        <v>0.74</v>
      </c>
    </row>
    <row r="46" spans="1:11">
      <c r="B46" s="120">
        <v>140</v>
      </c>
      <c r="C46" s="129">
        <v>279</v>
      </c>
      <c r="E46" s="140">
        <v>1.33</v>
      </c>
      <c r="F46" s="138">
        <f t="shared" si="1"/>
        <v>1080.8510638297871</v>
      </c>
      <c r="G46" s="138">
        <f t="shared" si="2"/>
        <v>1437.5319148936169</v>
      </c>
      <c r="H46" s="138">
        <f>C30-G46</f>
        <v>1102.4680851063831</v>
      </c>
      <c r="I46" s="139">
        <v>0.55000000000000004</v>
      </c>
    </row>
    <row r="47" spans="1:11">
      <c r="B47" s="120">
        <v>150</v>
      </c>
      <c r="C47" s="129">
        <v>293</v>
      </c>
    </row>
    <row r="48" spans="1:11">
      <c r="B48" s="120">
        <v>160</v>
      </c>
      <c r="C48" s="129">
        <v>380</v>
      </c>
      <c r="E48" s="134" t="s">
        <v>105</v>
      </c>
    </row>
    <row r="49" spans="2:11">
      <c r="B49" s="120">
        <v>170</v>
      </c>
      <c r="C49" s="129">
        <v>381</v>
      </c>
      <c r="E49" s="134"/>
    </row>
    <row r="50" spans="2:11">
      <c r="B50" s="120">
        <v>180</v>
      </c>
      <c r="C50" s="129">
        <v>413</v>
      </c>
      <c r="E50" s="134"/>
    </row>
    <row r="51" spans="2:11">
      <c r="B51" s="120"/>
      <c r="C51" s="129"/>
      <c r="E51" s="134"/>
    </row>
    <row r="52" spans="2:11">
      <c r="C52" s="74"/>
    </row>
    <row r="53" spans="2:11" ht="15.95" customHeight="1">
      <c r="B53" s="123" t="s">
        <v>30</v>
      </c>
      <c r="C53" s="127"/>
      <c r="D53" s="132"/>
      <c r="E53" s="132"/>
      <c r="F53" s="127"/>
      <c r="G53" s="127"/>
      <c r="H53" s="127"/>
      <c r="I53" s="127"/>
      <c r="J53" s="127"/>
      <c r="K53" s="127"/>
    </row>
    <row r="54" spans="2:11" ht="6.95" customHeight="1">
      <c r="B54" s="125"/>
      <c r="C54" s="4"/>
      <c r="D54" s="26"/>
      <c r="E54" s="26"/>
      <c r="F54" s="4"/>
    </row>
    <row r="55" spans="2:11" ht="15.95" customHeight="1">
      <c r="B55" s="119"/>
      <c r="C55" s="133" t="s">
        <v>31</v>
      </c>
      <c r="D55" s="133" t="s">
        <v>9</v>
      </c>
      <c r="E55" s="133" t="s">
        <v>10</v>
      </c>
    </row>
    <row r="56" spans="2:11" ht="15.95" customHeight="1">
      <c r="B56" s="119" t="s">
        <v>34</v>
      </c>
      <c r="C56" s="122" t="s">
        <v>35</v>
      </c>
      <c r="D56" s="121">
        <v>180</v>
      </c>
      <c r="E56" s="121">
        <f>D56*25.4</f>
        <v>4572</v>
      </c>
      <c r="F56" s="4"/>
      <c r="G56" s="4" t="s">
        <v>36</v>
      </c>
    </row>
    <row r="58" spans="2:11">
      <c r="B58" s="118" t="s">
        <v>37</v>
      </c>
      <c r="C58" s="127"/>
      <c r="D58" s="127"/>
      <c r="E58" s="127"/>
      <c r="F58" s="127"/>
      <c r="G58" s="127"/>
      <c r="H58" s="127"/>
      <c r="I58" s="127"/>
      <c r="J58" s="127"/>
      <c r="K58" s="127"/>
    </row>
    <row r="59" spans="2:11">
      <c r="B59" s="378" t="s">
        <v>122</v>
      </c>
      <c r="C59" s="378"/>
      <c r="D59" s="378"/>
      <c r="E59" s="378"/>
      <c r="F59" s="378"/>
      <c r="G59" s="378"/>
      <c r="H59" s="378"/>
      <c r="I59" s="378"/>
    </row>
    <row r="60" spans="2:11">
      <c r="B60" s="378"/>
      <c r="C60" s="378"/>
      <c r="D60" s="378"/>
      <c r="E60" s="378"/>
      <c r="F60" s="378"/>
      <c r="G60" s="378"/>
      <c r="H60" s="378"/>
      <c r="I60" s="378"/>
    </row>
    <row r="61" spans="2:11">
      <c r="B61" s="36"/>
      <c r="C61" s="36"/>
      <c r="D61" s="36"/>
      <c r="E61" s="36"/>
      <c r="F61" s="36"/>
      <c r="G61" s="36"/>
      <c r="H61" s="36"/>
    </row>
    <row r="62" spans="2:11">
      <c r="B62" s="118" t="s">
        <v>117</v>
      </c>
      <c r="C62" s="127"/>
      <c r="D62" s="127"/>
      <c r="E62" s="127"/>
      <c r="F62" s="127"/>
      <c r="G62" s="127"/>
      <c r="H62" s="127"/>
      <c r="I62" s="127"/>
      <c r="J62" s="127"/>
      <c r="K62" s="127"/>
    </row>
    <row r="63" spans="2:11">
      <c r="B63" s="2" t="s">
        <v>123</v>
      </c>
    </row>
    <row r="64" spans="2:11">
      <c r="B64" s="2" t="s">
        <v>124</v>
      </c>
    </row>
    <row r="65" spans="2:3" ht="9.9499999999999993" customHeight="1"/>
    <row r="66" spans="2:3">
      <c r="B66" s="2" t="s">
        <v>70</v>
      </c>
    </row>
    <row r="67" spans="2:3">
      <c r="B67" s="66">
        <f>+C32/2+350</f>
        <v>1716</v>
      </c>
      <c r="C67" s="2" t="s">
        <v>45</v>
      </c>
    </row>
    <row r="68" spans="2:3">
      <c r="B68" s="66">
        <f>+C33+100</f>
        <v>1368.8510638297871</v>
      </c>
      <c r="C68" s="2" t="s">
        <v>46</v>
      </c>
    </row>
    <row r="69" spans="2:3">
      <c r="B69" s="66">
        <v>370</v>
      </c>
      <c r="C69" s="2" t="s">
        <v>27</v>
      </c>
    </row>
    <row r="70" spans="2:3">
      <c r="B70" s="38"/>
    </row>
  </sheetData>
  <mergeCells count="12">
    <mergeCell ref="B59:I60"/>
    <mergeCell ref="A1:K1"/>
    <mergeCell ref="A2:K2"/>
    <mergeCell ref="E29:F29"/>
    <mergeCell ref="H29:K29"/>
    <mergeCell ref="E30:F30"/>
    <mergeCell ref="H30:K30"/>
    <mergeCell ref="B38:C38"/>
    <mergeCell ref="E21:F21"/>
    <mergeCell ref="E31:F31"/>
    <mergeCell ref="H31:K31"/>
    <mergeCell ref="E20:F20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69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8"/>
  <sheetViews>
    <sheetView showGridLines="0" topLeftCell="A21" workbookViewId="0">
      <selection activeCell="E30" sqref="E30:F30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135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121" 2.39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D4" s="4"/>
      <c r="E4" s="4"/>
      <c r="F4" s="4"/>
      <c r="G4" s="4"/>
      <c r="J4" s="4"/>
      <c r="K4" s="4"/>
    </row>
    <row r="5" spans="1:11">
      <c r="A5" s="4"/>
      <c r="D5" s="4"/>
      <c r="E5" s="200">
        <f>+C29</f>
        <v>3070</v>
      </c>
      <c r="F5" s="4"/>
      <c r="G5" s="4"/>
      <c r="J5" s="4"/>
      <c r="K5" s="4"/>
    </row>
    <row r="6" spans="1:11">
      <c r="A6" s="4"/>
      <c r="D6" s="4"/>
      <c r="E6" s="309">
        <f>+E5/$E$34</f>
        <v>120.86614173228347</v>
      </c>
      <c r="G6" s="4"/>
      <c r="J6" s="4"/>
      <c r="K6" s="4"/>
    </row>
    <row r="7" spans="1:11">
      <c r="A7" s="4"/>
      <c r="D7" s="4"/>
      <c r="E7" s="4"/>
      <c r="F7" s="4"/>
      <c r="G7" s="4"/>
      <c r="J7" s="4"/>
      <c r="K7" s="4"/>
    </row>
    <row r="8" spans="1:11">
      <c r="A8" s="4"/>
      <c r="D8" s="4"/>
      <c r="E8" s="4"/>
      <c r="F8" s="4"/>
      <c r="G8" s="4"/>
      <c r="J8" s="4"/>
      <c r="K8" s="4"/>
    </row>
    <row r="9" spans="1:11">
      <c r="A9" s="4"/>
      <c r="E9" s="4"/>
      <c r="F9" s="4"/>
      <c r="G9" s="4"/>
      <c r="J9" s="4"/>
      <c r="K9" s="4"/>
    </row>
    <row r="10" spans="1:11">
      <c r="A10" s="4"/>
      <c r="D10" s="4"/>
      <c r="E10" s="4"/>
      <c r="F10" s="4"/>
      <c r="G10" s="4"/>
      <c r="J10" s="4"/>
      <c r="K10" s="4"/>
    </row>
    <row r="11" spans="1:11">
      <c r="A11" s="4"/>
      <c r="D11" s="200">
        <f>+C30</f>
        <v>1284.5188284518829</v>
      </c>
      <c r="E11" s="4"/>
      <c r="G11" s="4"/>
      <c r="K11" s="4"/>
    </row>
    <row r="12" spans="1:11">
      <c r="A12" s="4"/>
      <c r="D12" s="310">
        <f>+D11/$E$34</f>
        <v>50.571607419365471</v>
      </c>
      <c r="E12" s="4"/>
      <c r="F12" s="6"/>
      <c r="G12" s="4"/>
      <c r="J12" s="4"/>
      <c r="K12" s="4"/>
    </row>
    <row r="13" spans="1:11">
      <c r="A13" s="4"/>
      <c r="D13" s="4"/>
      <c r="E13" s="4"/>
      <c r="F13" s="4"/>
      <c r="G13" s="4"/>
      <c r="J13" s="7">
        <f>+C32</f>
        <v>1284.5188284518829</v>
      </c>
      <c r="K13" s="4"/>
    </row>
    <row r="14" spans="1:11">
      <c r="A14" s="4"/>
      <c r="D14" s="4"/>
      <c r="E14" s="4"/>
      <c r="F14" s="200">
        <f>+C33</f>
        <v>3327.8955242987117</v>
      </c>
      <c r="G14" s="4"/>
      <c r="J14" s="309">
        <f>+J13/$E$34</f>
        <v>50.571607419365471</v>
      </c>
      <c r="K14" s="4"/>
    </row>
    <row r="15" spans="1:11">
      <c r="A15" s="4"/>
      <c r="D15" s="4"/>
      <c r="E15" s="4"/>
      <c r="F15" s="310">
        <f>+F14/$E$34</f>
        <v>131.01950883065794</v>
      </c>
      <c r="G15" s="4"/>
      <c r="J15" s="4"/>
      <c r="K15" s="4"/>
    </row>
    <row r="16" spans="1:11">
      <c r="A16" s="4"/>
      <c r="D16" s="4"/>
      <c r="E16" s="4"/>
      <c r="F16" s="4"/>
      <c r="G16" s="4"/>
      <c r="J16" s="4"/>
      <c r="K16" s="4"/>
    </row>
    <row r="17" spans="1:11">
      <c r="A17" s="4"/>
      <c r="D17" s="4"/>
      <c r="E17" s="4"/>
      <c r="F17" s="4"/>
      <c r="G17" s="4"/>
      <c r="J17" s="4"/>
      <c r="K17" s="4"/>
    </row>
    <row r="18" spans="1:11">
      <c r="A18" s="4"/>
      <c r="D18" s="4"/>
      <c r="E18" s="4"/>
      <c r="F18" s="4"/>
      <c r="G18" s="4"/>
      <c r="J18" s="4"/>
      <c r="K18" s="4"/>
    </row>
    <row r="19" spans="1:11">
      <c r="A19" s="4"/>
      <c r="D19" s="4"/>
      <c r="E19" s="4"/>
      <c r="F19" s="4"/>
      <c r="G19" s="4"/>
      <c r="J19" s="4"/>
      <c r="K19" s="4"/>
    </row>
    <row r="20" spans="1:11">
      <c r="A20" s="4"/>
      <c r="D20" s="4"/>
      <c r="E20" s="4"/>
      <c r="F20" s="4"/>
      <c r="G20" s="4"/>
      <c r="J20" s="4"/>
      <c r="K20" s="4"/>
    </row>
    <row r="21" spans="1:11">
      <c r="A21" s="4"/>
      <c r="D21" s="4"/>
      <c r="E21" s="8"/>
      <c r="F21" s="4"/>
      <c r="G21" s="4"/>
      <c r="J21" s="4"/>
      <c r="K21" s="4"/>
    </row>
    <row r="22" spans="1:11">
      <c r="A22" s="4"/>
      <c r="D22" s="4"/>
      <c r="E22" s="9"/>
      <c r="F22" s="4"/>
      <c r="G22" s="4"/>
      <c r="J22" s="4"/>
      <c r="K22" s="4"/>
    </row>
    <row r="23" spans="1:11">
      <c r="A23" s="4"/>
      <c r="D23" s="4"/>
      <c r="E23" s="4"/>
      <c r="F23" s="4"/>
      <c r="G23" s="4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200">
        <f>+C34</f>
        <v>30</v>
      </c>
    </row>
    <row r="26" spans="1:11">
      <c r="A26" s="4"/>
      <c r="B26" s="4"/>
      <c r="C26" s="4"/>
      <c r="D26" s="4"/>
      <c r="E26" s="200">
        <f>+C31</f>
        <v>3070</v>
      </c>
      <c r="F26" s="4"/>
      <c r="G26" s="4"/>
      <c r="H26" s="4"/>
      <c r="I26" s="4"/>
      <c r="J26" s="4"/>
      <c r="K26" s="310">
        <f>+K25/$E$34</f>
        <v>1.1811023622047245</v>
      </c>
    </row>
    <row r="27" spans="1:11" ht="15" customHeight="1" thickBot="1">
      <c r="A27" s="4"/>
      <c r="B27" s="4"/>
      <c r="C27" s="4"/>
      <c r="D27" s="4"/>
      <c r="E27" s="310">
        <f>+E26/$E$34</f>
        <v>120.86614173228347</v>
      </c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23" t="str">
        <f>IF(C30&lt;=2800,"EN 4K or NEO","NEO-W")</f>
        <v>EN 4K or NEO</v>
      </c>
      <c r="F28" s="324"/>
      <c r="G28" s="13" t="s">
        <v>12</v>
      </c>
      <c r="H28" s="325">
        <f ca="1">NOW()</f>
        <v>43166.556318287039</v>
      </c>
      <c r="I28" s="325"/>
      <c r="J28" s="325"/>
      <c r="K28" s="326"/>
    </row>
    <row r="29" spans="1:11">
      <c r="A29" s="149" t="s">
        <v>13</v>
      </c>
      <c r="B29" s="311">
        <f t="shared" ref="B29:B34" si="0">+C29/$E$34</f>
        <v>120.86614173228347</v>
      </c>
      <c r="C29" s="16">
        <v>3070</v>
      </c>
      <c r="D29" s="150" t="s">
        <v>14</v>
      </c>
      <c r="E29" s="327">
        <v>2.39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311">
        <f t="shared" si="0"/>
        <v>50.571607419365471</v>
      </c>
      <c r="C30" s="18">
        <f>C29/E29</f>
        <v>1284.5188284518829</v>
      </c>
      <c r="D30" s="17" t="s">
        <v>17</v>
      </c>
      <c r="E30" s="316" t="s">
        <v>18</v>
      </c>
      <c r="F30" s="317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311">
        <f t="shared" si="0"/>
        <v>120.86614173228347</v>
      </c>
      <c r="C31" s="19">
        <f>+C29+(2*E33)</f>
        <v>3070</v>
      </c>
      <c r="D31" s="17" t="s">
        <v>21</v>
      </c>
      <c r="E31" s="20" t="s">
        <v>18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311">
        <f t="shared" si="0"/>
        <v>50.571607419365471</v>
      </c>
      <c r="C32" s="19">
        <f>+C30+(2*E33)</f>
        <v>1284.5188284518829</v>
      </c>
      <c r="D32" s="23" t="s">
        <v>24</v>
      </c>
      <c r="E32" s="24" t="s">
        <v>18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311">
        <f t="shared" si="0"/>
        <v>131.01950883065794</v>
      </c>
      <c r="C33" s="19">
        <f>SQRT((C29^2)+(C30^2))</f>
        <v>3327.8955242987117</v>
      </c>
      <c r="D33" s="23" t="s">
        <v>26</v>
      </c>
      <c r="E33" s="28">
        <v>0</v>
      </c>
      <c r="F33" s="25"/>
      <c r="G33" s="26"/>
      <c r="H33" s="26"/>
      <c r="I33" s="26"/>
      <c r="J33" s="26"/>
      <c r="K33" s="27"/>
    </row>
    <row r="34" spans="1:11" ht="15.95" customHeight="1" thickBot="1">
      <c r="A34" s="29" t="s">
        <v>27</v>
      </c>
      <c r="B34" s="312">
        <f t="shared" si="0"/>
        <v>1.1811023622047245</v>
      </c>
      <c r="C34" s="31">
        <f>IF(C29&gt;3558, 40, 30)</f>
        <v>30</v>
      </c>
      <c r="D34" s="32" t="s">
        <v>28</v>
      </c>
      <c r="E34" s="33">
        <v>25.4</v>
      </c>
      <c r="F34" s="34"/>
      <c r="G34" s="34"/>
      <c r="H34" s="34"/>
      <c r="I34" s="34"/>
      <c r="J34" s="34"/>
      <c r="K34" s="35" t="s">
        <v>29</v>
      </c>
    </row>
    <row r="35" spans="1:11" ht="15.95" customHeight="1">
      <c r="D35" s="4"/>
      <c r="E35" s="4"/>
    </row>
    <row r="36" spans="1:11" ht="15.95" customHeight="1">
      <c r="B36" s="123" t="s">
        <v>30</v>
      </c>
      <c r="C36" s="127"/>
      <c r="D36" s="132"/>
      <c r="E36" s="132"/>
      <c r="F36" s="127"/>
      <c r="G36" s="127"/>
      <c r="H36" s="127"/>
      <c r="I36" s="127"/>
      <c r="J36" s="127"/>
      <c r="K36" s="127"/>
    </row>
    <row r="37" spans="1:11" ht="6.95" customHeight="1">
      <c r="B37" s="125"/>
      <c r="C37" s="4"/>
      <c r="D37" s="26"/>
      <c r="E37" s="26"/>
      <c r="F37" s="4"/>
    </row>
    <row r="38" spans="1:11" ht="15.95" customHeight="1">
      <c r="B38" s="119"/>
      <c r="C38" s="133" t="s">
        <v>31</v>
      </c>
      <c r="D38" s="133" t="s">
        <v>9</v>
      </c>
      <c r="E38" s="133" t="s">
        <v>10</v>
      </c>
    </row>
    <row r="39" spans="1:11" ht="15.95" customHeight="1">
      <c r="B39" s="119" t="s">
        <v>32</v>
      </c>
      <c r="C39" s="122" t="s">
        <v>33</v>
      </c>
      <c r="D39" s="121">
        <v>210</v>
      </c>
      <c r="E39" s="121">
        <f>D39*25.4</f>
        <v>5334</v>
      </c>
      <c r="F39" s="4"/>
    </row>
    <row r="40" spans="1:11" ht="15.95" customHeight="1">
      <c r="B40" s="119" t="s">
        <v>34</v>
      </c>
      <c r="C40" s="122" t="s">
        <v>35</v>
      </c>
      <c r="D40" s="121">
        <v>280</v>
      </c>
      <c r="E40" s="121">
        <f>D40*25.4</f>
        <v>7112</v>
      </c>
      <c r="G40" s="4" t="s">
        <v>36</v>
      </c>
    </row>
    <row r="41" spans="1:11" ht="15.95" customHeight="1"/>
    <row r="42" spans="1:11" ht="15.95" customHeight="1">
      <c r="B42" s="118" t="s">
        <v>37</v>
      </c>
      <c r="C42" s="127"/>
      <c r="D42" s="127"/>
      <c r="E42" s="127"/>
      <c r="F42" s="127"/>
      <c r="G42" s="127"/>
      <c r="H42" s="127"/>
      <c r="I42" s="127"/>
      <c r="J42" s="127"/>
      <c r="K42" s="127"/>
    </row>
    <row r="43" spans="1:11" ht="15.95" customHeight="1">
      <c r="B43" s="36" t="s">
        <v>38</v>
      </c>
      <c r="C43" s="36"/>
      <c r="D43" s="36"/>
      <c r="E43" s="36"/>
      <c r="F43" s="36"/>
      <c r="G43" s="36"/>
      <c r="H43" s="36"/>
    </row>
    <row r="44" spans="1:11">
      <c r="B44" s="36" t="s">
        <v>39</v>
      </c>
      <c r="C44" s="36"/>
      <c r="D44" s="36"/>
      <c r="E44" s="36"/>
      <c r="F44" s="36"/>
      <c r="G44" s="36"/>
      <c r="H44" s="36"/>
    </row>
    <row r="45" spans="1:11">
      <c r="B45" s="36" t="s">
        <v>160</v>
      </c>
      <c r="C45" s="36"/>
      <c r="D45" s="36"/>
      <c r="E45" s="36"/>
      <c r="F45" s="36"/>
      <c r="G45" s="36"/>
      <c r="H45" s="36"/>
    </row>
    <row r="46" spans="1:11">
      <c r="B46" s="36"/>
      <c r="C46" s="36"/>
      <c r="D46" s="36"/>
      <c r="E46" s="36"/>
      <c r="F46" s="36"/>
      <c r="G46" s="36"/>
      <c r="H46" s="36"/>
    </row>
    <row r="47" spans="1:11" ht="9.9499999999999993" customHeight="1">
      <c r="B47" s="36"/>
      <c r="C47" s="36"/>
      <c r="D47" s="36"/>
      <c r="E47" s="36"/>
      <c r="F47" s="36"/>
      <c r="G47" s="36"/>
      <c r="H47" s="36"/>
    </row>
    <row r="48" spans="1:11">
      <c r="B48" s="118" t="s">
        <v>42</v>
      </c>
      <c r="C48" s="127"/>
      <c r="D48" s="127"/>
      <c r="E48" s="127"/>
      <c r="F48" s="127"/>
      <c r="G48" s="127"/>
      <c r="H48" s="127"/>
      <c r="I48" s="127"/>
      <c r="J48" s="127"/>
      <c r="K48" s="127"/>
    </row>
    <row r="49" spans="2:3">
      <c r="B49" s="2" t="s">
        <v>134</v>
      </c>
    </row>
    <row r="50" spans="2:3">
      <c r="B50" s="2" t="s">
        <v>44</v>
      </c>
    </row>
    <row r="51" spans="2:3" ht="8.1" customHeight="1"/>
    <row r="52" spans="2:3">
      <c r="B52" s="37">
        <f>+E26/2+70</f>
        <v>1605</v>
      </c>
      <c r="C52" s="2" t="s">
        <v>45</v>
      </c>
    </row>
    <row r="53" spans="2:3">
      <c r="B53" s="37">
        <v>250</v>
      </c>
      <c r="C53" s="2" t="s">
        <v>46</v>
      </c>
    </row>
    <row r="54" spans="2:3">
      <c r="B54" s="37">
        <v>200</v>
      </c>
      <c r="C54" s="2" t="s">
        <v>47</v>
      </c>
    </row>
    <row r="55" spans="2:3">
      <c r="B55" s="38"/>
    </row>
    <row r="56" spans="2:3">
      <c r="B56" s="38"/>
    </row>
    <row r="57" spans="2:3">
      <c r="B57" s="38"/>
    </row>
    <row r="58" spans="2:3">
      <c r="B58" s="38"/>
    </row>
    <row r="59" spans="2:3">
      <c r="B59" s="38"/>
    </row>
    <row r="60" spans="2:3">
      <c r="B60" s="38"/>
    </row>
    <row r="61" spans="2:3">
      <c r="B61" s="38"/>
    </row>
    <row r="62" spans="2:3">
      <c r="B62" s="38"/>
    </row>
    <row r="63" spans="2:3">
      <c r="B63" s="38"/>
    </row>
    <row r="64" spans="2:3">
      <c r="B64" s="38"/>
    </row>
    <row r="65" spans="2:2">
      <c r="B65" s="38"/>
    </row>
    <row r="66" spans="2:2">
      <c r="B66" s="38"/>
    </row>
    <row r="67" spans="2:2">
      <c r="B67" s="38"/>
    </row>
    <row r="68" spans="2:2">
      <c r="B68" s="38"/>
    </row>
    <row r="69" spans="2:2">
      <c r="B69" s="38"/>
    </row>
    <row r="70" spans="2:2">
      <c r="B70" s="38"/>
    </row>
    <row r="71" spans="2:2">
      <c r="B71" s="38"/>
    </row>
    <row r="72" spans="2:2">
      <c r="B72" s="38"/>
    </row>
    <row r="73" spans="2:2">
      <c r="B73" s="38"/>
    </row>
    <row r="74" spans="2:2">
      <c r="B74" s="38"/>
    </row>
    <row r="75" spans="2:2">
      <c r="B75" s="38"/>
    </row>
    <row r="76" spans="2:2">
      <c r="B76" s="38"/>
    </row>
    <row r="77" spans="2:2">
      <c r="B77" s="38"/>
    </row>
    <row r="78" spans="2:2">
      <c r="B78" s="38"/>
    </row>
    <row r="79" spans="2:2">
      <c r="B79" s="38"/>
    </row>
    <row r="80" spans="2:2">
      <c r="B80" s="38"/>
    </row>
    <row r="81" spans="2:2">
      <c r="B81" s="38"/>
    </row>
    <row r="82" spans="2:2">
      <c r="B82" s="38"/>
    </row>
    <row r="83" spans="2:2">
      <c r="B83" s="38"/>
    </row>
    <row r="84" spans="2:2">
      <c r="B84" s="38"/>
    </row>
    <row r="85" spans="2:2">
      <c r="B85" s="38"/>
    </row>
    <row r="86" spans="2:2">
      <c r="B86" s="38"/>
    </row>
    <row r="87" spans="2:2">
      <c r="B87" s="38"/>
    </row>
    <row r="88" spans="2:2">
      <c r="B88" s="38"/>
    </row>
    <row r="89" spans="2:2">
      <c r="B89" s="38"/>
    </row>
    <row r="90" spans="2:2">
      <c r="B90" s="38"/>
    </row>
    <row r="91" spans="2:2">
      <c r="B91" s="38"/>
    </row>
    <row r="92" spans="2:2">
      <c r="B92" s="38"/>
    </row>
    <row r="93" spans="2:2">
      <c r="B93" s="38"/>
    </row>
    <row r="94" spans="2:2">
      <c r="B94" s="38"/>
    </row>
    <row r="95" spans="2:2">
      <c r="B95" s="38"/>
    </row>
    <row r="96" spans="2:2">
      <c r="B96" s="38"/>
    </row>
    <row r="97" spans="2:2">
      <c r="B97" s="38"/>
    </row>
    <row r="98" spans="2:2">
      <c r="B98" s="38"/>
    </row>
    <row r="99" spans="2:2">
      <c r="B99" s="38"/>
    </row>
    <row r="100" spans="2:2">
      <c r="B100" s="38"/>
    </row>
    <row r="101" spans="2:2">
      <c r="B101" s="38"/>
    </row>
    <row r="102" spans="2:2">
      <c r="B102" s="38"/>
    </row>
    <row r="103" spans="2:2">
      <c r="B103" s="38"/>
    </row>
    <row r="104" spans="2:2">
      <c r="B104" s="38"/>
    </row>
    <row r="105" spans="2:2">
      <c r="B105" s="38"/>
    </row>
    <row r="106" spans="2:2">
      <c r="B106" s="38"/>
    </row>
    <row r="107" spans="2:2">
      <c r="B107" s="38"/>
    </row>
    <row r="108" spans="2:2">
      <c r="B108" s="38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54"/>
  <sheetViews>
    <sheetView showGridLines="0" workbookViewId="0">
      <selection activeCell="E29" sqref="E29:F29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125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100" 2.07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B4" s="76"/>
      <c r="C4" s="76"/>
      <c r="D4" s="76"/>
      <c r="E4" s="76"/>
      <c r="F4" s="76"/>
      <c r="G4" s="76"/>
      <c r="H4" s="76"/>
      <c r="I4" s="76"/>
      <c r="J4" s="4"/>
      <c r="K4" s="4"/>
    </row>
    <row r="5" spans="1:11">
      <c r="A5" s="4"/>
      <c r="B5" s="76"/>
      <c r="C5" s="76"/>
      <c r="D5" s="76"/>
      <c r="E5" s="76"/>
      <c r="F5" s="76"/>
      <c r="G5" s="76"/>
      <c r="H5" s="76"/>
      <c r="I5" s="76"/>
      <c r="J5" s="4"/>
      <c r="K5" s="4"/>
    </row>
    <row r="6" spans="1:11">
      <c r="A6" s="4"/>
      <c r="B6" s="76"/>
      <c r="C6" s="76"/>
      <c r="D6" s="76"/>
      <c r="E6" s="76"/>
      <c r="F6" s="76"/>
      <c r="G6" s="76"/>
      <c r="H6" s="76"/>
      <c r="I6" s="76"/>
      <c r="J6" s="4"/>
      <c r="K6" s="4"/>
    </row>
    <row r="7" spans="1:11">
      <c r="A7" s="4"/>
      <c r="B7" s="76"/>
      <c r="D7" s="4"/>
      <c r="E7" s="4"/>
      <c r="F7" s="4"/>
      <c r="G7" s="4"/>
      <c r="I7" s="76"/>
      <c r="J7" s="4"/>
      <c r="K7" s="4"/>
    </row>
    <row r="8" spans="1:11">
      <c r="A8" s="4"/>
      <c r="B8" s="76"/>
      <c r="D8" s="4"/>
      <c r="F8" s="199">
        <f>+C29</f>
        <v>2540</v>
      </c>
      <c r="G8" s="4"/>
      <c r="I8" s="76"/>
      <c r="J8" s="4"/>
      <c r="K8" s="4"/>
    </row>
    <row r="9" spans="1:11">
      <c r="A9" s="4"/>
      <c r="B9" s="76"/>
      <c r="F9" s="5">
        <f>+F8/$E$34</f>
        <v>100</v>
      </c>
      <c r="G9" s="4"/>
      <c r="I9" s="76"/>
      <c r="J9" s="4"/>
      <c r="K9" s="4"/>
    </row>
    <row r="10" spans="1:11">
      <c r="A10" s="4"/>
      <c r="B10" s="76"/>
      <c r="D10" s="4"/>
      <c r="E10" s="4"/>
      <c r="F10" s="4"/>
      <c r="G10" s="4"/>
      <c r="I10" s="76"/>
      <c r="J10" s="4"/>
      <c r="K10" s="4"/>
    </row>
    <row r="11" spans="1:11">
      <c r="A11" s="4"/>
      <c r="B11" s="76"/>
      <c r="D11" s="199">
        <f>+C30</f>
        <v>1227.0531400966186</v>
      </c>
      <c r="E11" s="4"/>
      <c r="G11" s="4"/>
      <c r="I11" s="76"/>
      <c r="K11" s="4"/>
    </row>
    <row r="12" spans="1:11">
      <c r="A12" s="4"/>
      <c r="B12" s="76"/>
      <c r="D12" s="198">
        <f>+D11/$E$34</f>
        <v>48.309178743961361</v>
      </c>
      <c r="E12" s="4"/>
      <c r="F12" s="6"/>
      <c r="G12" s="4"/>
      <c r="I12" s="76"/>
      <c r="J12" s="4"/>
      <c r="K12" s="4"/>
    </row>
    <row r="13" spans="1:11">
      <c r="A13" s="4"/>
      <c r="B13" s="76"/>
      <c r="D13" s="4"/>
      <c r="E13" s="4"/>
      <c r="F13" s="4"/>
      <c r="G13" s="4"/>
      <c r="H13" s="77"/>
      <c r="I13" s="76"/>
      <c r="J13" s="7">
        <f>+C32</f>
        <v>1471.0531400966186</v>
      </c>
      <c r="K13" s="4"/>
    </row>
    <row r="14" spans="1:11">
      <c r="A14" s="4"/>
      <c r="B14" s="76"/>
      <c r="D14" s="4"/>
      <c r="E14" s="4"/>
      <c r="F14" s="199">
        <f>+C33</f>
        <v>2820.8614656911054</v>
      </c>
      <c r="G14" s="4"/>
      <c r="H14" s="198"/>
      <c r="I14" s="76"/>
      <c r="J14" s="5">
        <f>+J13/$E$34</f>
        <v>57.915477956559791</v>
      </c>
      <c r="K14" s="4"/>
    </row>
    <row r="15" spans="1:11">
      <c r="A15" s="4"/>
      <c r="B15" s="76"/>
      <c r="D15" s="4"/>
      <c r="E15" s="4"/>
      <c r="F15" s="198">
        <f>+F14/$E$34</f>
        <v>111.05753801933487</v>
      </c>
      <c r="G15" s="4"/>
      <c r="I15" s="76"/>
      <c r="J15" s="4"/>
      <c r="K15" s="4"/>
    </row>
    <row r="16" spans="1:11">
      <c r="A16" s="4"/>
      <c r="B16" s="76"/>
      <c r="D16" s="4"/>
      <c r="E16" s="4"/>
      <c r="F16" s="4"/>
      <c r="G16" s="4"/>
      <c r="I16" s="76"/>
      <c r="J16" s="4"/>
      <c r="K16" s="4"/>
    </row>
    <row r="17" spans="1:14">
      <c r="A17" s="4"/>
      <c r="B17" s="76"/>
      <c r="D17" s="4"/>
      <c r="E17" s="4"/>
      <c r="F17" s="4"/>
      <c r="G17" s="4"/>
      <c r="I17" s="76"/>
      <c r="J17" s="4"/>
      <c r="K17" s="4"/>
    </row>
    <row r="18" spans="1:14">
      <c r="A18" s="4"/>
      <c r="B18" s="76"/>
      <c r="D18" s="4"/>
      <c r="E18" s="4"/>
      <c r="F18" s="4"/>
      <c r="G18" s="4"/>
      <c r="I18" s="76"/>
      <c r="J18" s="4"/>
      <c r="K18" s="4"/>
    </row>
    <row r="19" spans="1:14">
      <c r="A19" s="4"/>
      <c r="B19" s="76"/>
      <c r="D19" s="4"/>
      <c r="E19" s="8"/>
      <c r="F19" s="4"/>
      <c r="G19" s="4"/>
      <c r="I19" s="76"/>
      <c r="J19" s="4"/>
      <c r="K19" s="4"/>
    </row>
    <row r="20" spans="1:14">
      <c r="A20" s="4"/>
      <c r="B20" s="76"/>
      <c r="D20" s="4"/>
      <c r="E20" s="9"/>
      <c r="F20" s="4"/>
      <c r="G20" s="4"/>
      <c r="I20" s="76"/>
      <c r="J20" s="4"/>
      <c r="K20" s="4"/>
    </row>
    <row r="21" spans="1:14">
      <c r="A21" s="4"/>
      <c r="B21" s="76"/>
      <c r="C21" s="76"/>
      <c r="D21" s="76"/>
      <c r="E21" s="76"/>
      <c r="F21" s="76"/>
      <c r="G21" s="76"/>
      <c r="H21" s="76"/>
      <c r="I21" s="76"/>
      <c r="J21" s="4"/>
      <c r="K21" s="4"/>
    </row>
    <row r="22" spans="1:14">
      <c r="A22" s="4"/>
      <c r="B22" s="76"/>
      <c r="C22" s="76"/>
      <c r="D22" s="76"/>
      <c r="E22" s="76"/>
      <c r="F22" s="76"/>
      <c r="G22" s="76"/>
      <c r="H22" s="76"/>
      <c r="I22" s="76"/>
      <c r="J22" s="4"/>
      <c r="K22" s="4"/>
    </row>
    <row r="23" spans="1:14">
      <c r="A23" s="4"/>
      <c r="B23" s="76"/>
      <c r="C23" s="76"/>
      <c r="D23" s="76"/>
      <c r="E23" s="76"/>
      <c r="F23" s="76"/>
      <c r="G23" s="76"/>
      <c r="H23" s="76"/>
      <c r="I23" s="76"/>
      <c r="J23" s="4"/>
      <c r="K23" s="4"/>
    </row>
    <row r="24" spans="1:1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4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+C34</f>
        <v>147</v>
      </c>
    </row>
    <row r="26" spans="1:14">
      <c r="A26" s="4"/>
      <c r="B26" s="4"/>
      <c r="C26" s="4"/>
      <c r="D26" s="4"/>
      <c r="E26" s="78">
        <f>+C31</f>
        <v>2743</v>
      </c>
      <c r="F26" s="4"/>
      <c r="G26" s="4"/>
      <c r="H26" s="4"/>
      <c r="I26" s="4"/>
      <c r="J26" s="4"/>
      <c r="K26" s="198">
        <f>+K25/$E$34</f>
        <v>5.78740157480315</v>
      </c>
    </row>
    <row r="27" spans="1:14" ht="15.75" thickBot="1">
      <c r="A27" s="4"/>
      <c r="B27" s="4"/>
      <c r="C27" s="4"/>
      <c r="D27" s="4"/>
      <c r="E27" s="198">
        <f>+E26/$E$34</f>
        <v>107.99212598425197</v>
      </c>
      <c r="F27" s="4"/>
      <c r="G27" s="4"/>
      <c r="H27" s="4"/>
      <c r="I27" s="4"/>
      <c r="J27" s="4"/>
    </row>
    <row r="28" spans="1:14">
      <c r="A28" s="10"/>
      <c r="B28" s="11" t="s">
        <v>9</v>
      </c>
      <c r="C28" s="12" t="s">
        <v>10</v>
      </c>
      <c r="D28" s="13" t="s">
        <v>11</v>
      </c>
      <c r="E28" s="323" t="str">
        <f>IF(C30&lt;=2800,"EN 4K or NEO","NEO-W")</f>
        <v>EN 4K or NEO</v>
      </c>
      <c r="F28" s="324"/>
      <c r="G28" s="13" t="s">
        <v>12</v>
      </c>
      <c r="H28" s="325">
        <f ca="1">NOW()</f>
        <v>43166.556318402778</v>
      </c>
      <c r="I28" s="325"/>
      <c r="J28" s="325"/>
      <c r="K28" s="326"/>
    </row>
    <row r="29" spans="1:14">
      <c r="A29" s="149" t="s">
        <v>13</v>
      </c>
      <c r="B29" s="50">
        <f t="shared" ref="B29:B34" si="0">+C29/$E$34</f>
        <v>100</v>
      </c>
      <c r="C29" s="16">
        <v>2540</v>
      </c>
      <c r="D29" s="150" t="s">
        <v>14</v>
      </c>
      <c r="E29" s="327">
        <v>2.0699999999999998</v>
      </c>
      <c r="F29" s="328"/>
      <c r="G29" s="17" t="s">
        <v>15</v>
      </c>
      <c r="H29" s="329"/>
      <c r="I29" s="329"/>
      <c r="J29" s="329"/>
      <c r="K29" s="330"/>
      <c r="N29" s="112"/>
    </row>
    <row r="30" spans="1:14">
      <c r="A30" s="14" t="s">
        <v>16</v>
      </c>
      <c r="B30" s="50">
        <f t="shared" si="0"/>
        <v>48.309178743961361</v>
      </c>
      <c r="C30" s="18">
        <f>+C29/E29</f>
        <v>1227.0531400966186</v>
      </c>
      <c r="D30" s="17" t="s">
        <v>17</v>
      </c>
      <c r="E30" s="360" t="s">
        <v>126</v>
      </c>
      <c r="F30" s="361"/>
      <c r="G30" s="17" t="s">
        <v>19</v>
      </c>
      <c r="H30" s="318"/>
      <c r="I30" s="319"/>
      <c r="J30" s="319"/>
      <c r="K30" s="320"/>
    </row>
    <row r="31" spans="1:14">
      <c r="A31" s="14" t="s">
        <v>20</v>
      </c>
      <c r="B31" s="50">
        <f t="shared" si="0"/>
        <v>107.99212598425197</v>
      </c>
      <c r="C31" s="19">
        <f>+C29+(2*E33)+15</f>
        <v>2743</v>
      </c>
      <c r="D31" s="17" t="s">
        <v>95</v>
      </c>
      <c r="E31" s="54"/>
      <c r="F31" s="21" t="s">
        <v>22</v>
      </c>
      <c r="G31" s="4"/>
      <c r="H31" s="4"/>
      <c r="I31" s="4"/>
      <c r="J31" s="4"/>
      <c r="K31" s="22"/>
    </row>
    <row r="32" spans="1:14">
      <c r="A32" s="14" t="s">
        <v>23</v>
      </c>
      <c r="B32" s="50">
        <f t="shared" si="0"/>
        <v>57.915477956559791</v>
      </c>
      <c r="C32" s="19">
        <f>+C30+(2*E33)+56</f>
        <v>1471.0531400966186</v>
      </c>
      <c r="D32" s="23" t="s">
        <v>24</v>
      </c>
      <c r="E32" s="79" t="s">
        <v>79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50">
        <f t="shared" si="0"/>
        <v>111.05753801933487</v>
      </c>
      <c r="C33" s="19">
        <f>SQRT((C29^2)+(C30^2))</f>
        <v>2820.8614656911054</v>
      </c>
      <c r="D33" s="23" t="s">
        <v>26</v>
      </c>
      <c r="E33" s="53">
        <v>94</v>
      </c>
      <c r="F33" s="25"/>
      <c r="G33" s="26"/>
      <c r="H33" s="26"/>
      <c r="I33" s="26"/>
      <c r="J33" s="26"/>
      <c r="K33" s="27"/>
    </row>
    <row r="34" spans="1:11" ht="15.75" thickBot="1">
      <c r="A34" s="29" t="s">
        <v>27</v>
      </c>
      <c r="B34" s="61">
        <f t="shared" si="0"/>
        <v>5.78740157480315</v>
      </c>
      <c r="C34" s="75">
        <v>147</v>
      </c>
      <c r="D34" s="32" t="s">
        <v>28</v>
      </c>
      <c r="E34" s="64">
        <v>25.4</v>
      </c>
      <c r="F34" s="34"/>
      <c r="G34" s="34"/>
      <c r="H34" s="34"/>
      <c r="I34" s="34"/>
      <c r="J34" s="34"/>
      <c r="K34" s="73" t="s">
        <v>66</v>
      </c>
    </row>
    <row r="36" spans="1:11">
      <c r="B36" s="38"/>
      <c r="C36" s="66"/>
      <c r="D36" s="66"/>
      <c r="E36" s="80"/>
      <c r="F36" s="80"/>
      <c r="G36" s="81"/>
    </row>
    <row r="37" spans="1:1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77" t="s">
        <v>51</v>
      </c>
      <c r="D39" s="359" t="s">
        <v>31</v>
      </c>
      <c r="E39" s="359"/>
      <c r="F39" s="197" t="s">
        <v>9</v>
      </c>
      <c r="G39" s="197" t="s">
        <v>10</v>
      </c>
    </row>
    <row r="40" spans="1:11" ht="15.95" customHeight="1">
      <c r="B40" s="2" t="s">
        <v>54</v>
      </c>
      <c r="D40" s="175"/>
      <c r="E40" s="176">
        <v>2.0699999999999998</v>
      </c>
      <c r="F40" s="121">
        <v>180</v>
      </c>
      <c r="G40" s="99">
        <f>F40*25.4</f>
        <v>4572</v>
      </c>
    </row>
    <row r="41" spans="1:11" ht="15.95" customHeight="1">
      <c r="B41" s="4" t="s">
        <v>132</v>
      </c>
      <c r="D41" s="175"/>
      <c r="E41" s="176">
        <v>2.0699999999999998</v>
      </c>
      <c r="F41" s="121">
        <v>180</v>
      </c>
      <c r="G41" s="121">
        <f>F41*25.4</f>
        <v>4572</v>
      </c>
      <c r="H41" s="4" t="s">
        <v>36</v>
      </c>
    </row>
    <row r="42" spans="1:11">
      <c r="B42" s="191" t="s">
        <v>127</v>
      </c>
    </row>
    <row r="44" spans="1:11">
      <c r="B44" s="118" t="s">
        <v>37</v>
      </c>
      <c r="C44" s="127"/>
      <c r="D44" s="127"/>
      <c r="E44" s="127"/>
      <c r="F44" s="127"/>
      <c r="G44" s="127"/>
      <c r="H44" s="127"/>
      <c r="I44" s="127"/>
      <c r="J44" s="127"/>
      <c r="K44" s="127"/>
    </row>
    <row r="45" spans="1:11">
      <c r="B45" s="36" t="s">
        <v>106</v>
      </c>
      <c r="C45" s="36"/>
      <c r="D45" s="36"/>
      <c r="E45" s="36"/>
      <c r="F45" s="36"/>
      <c r="G45" s="36"/>
      <c r="H45" s="36"/>
      <c r="I45" s="36"/>
      <c r="J45" s="36"/>
      <c r="K45" s="36"/>
    </row>
    <row r="46" spans="1:11">
      <c r="B46" s="36"/>
      <c r="C46" s="36"/>
      <c r="D46" s="36"/>
      <c r="E46" s="36"/>
      <c r="F46" s="36"/>
      <c r="G46" s="36"/>
      <c r="H46" s="36"/>
      <c r="I46" s="36"/>
      <c r="J46" s="36"/>
      <c r="K46" s="36"/>
    </row>
    <row r="47" spans="1:11">
      <c r="B47" s="118" t="s">
        <v>68</v>
      </c>
      <c r="C47" s="127"/>
      <c r="D47" s="127"/>
      <c r="E47" s="127"/>
      <c r="F47" s="127"/>
      <c r="G47" s="127"/>
      <c r="H47" s="127"/>
      <c r="I47" s="127"/>
      <c r="J47" s="127"/>
      <c r="K47" s="127"/>
    </row>
    <row r="48" spans="1:11">
      <c r="B48" s="2" t="s">
        <v>128</v>
      </c>
    </row>
    <row r="49" spans="2:3">
      <c r="B49" s="2" t="s">
        <v>129</v>
      </c>
    </row>
    <row r="50" spans="2:3">
      <c r="B50" s="2" t="s">
        <v>70</v>
      </c>
    </row>
    <row r="51" spans="2:3">
      <c r="B51" s="66">
        <f>+(C31)+200</f>
        <v>2943</v>
      </c>
      <c r="C51" s="2" t="s">
        <v>45</v>
      </c>
    </row>
    <row r="52" spans="2:3">
      <c r="B52" s="66">
        <f>(C32)+100</f>
        <v>1571.0531400966186</v>
      </c>
      <c r="C52" s="2" t="s">
        <v>46</v>
      </c>
    </row>
    <row r="53" spans="2:3">
      <c r="B53" s="66">
        <v>370</v>
      </c>
      <c r="C53" s="2" t="s">
        <v>47</v>
      </c>
    </row>
    <row r="54" spans="2:3">
      <c r="B54" s="38"/>
    </row>
  </sheetData>
  <mergeCells count="9">
    <mergeCell ref="E30:F30"/>
    <mergeCell ref="H30:K30"/>
    <mergeCell ref="D39:E39"/>
    <mergeCell ref="A1:K1"/>
    <mergeCell ref="A2:K2"/>
    <mergeCell ref="E28:F28"/>
    <mergeCell ref="H28:K28"/>
    <mergeCell ref="E29:F29"/>
    <mergeCell ref="H29:K29"/>
  </mergeCells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52"/>
  <sheetViews>
    <sheetView showGridLines="0" workbookViewId="0">
      <selection activeCell="Q28" sqref="Q28"/>
    </sheetView>
  </sheetViews>
  <sheetFormatPr defaultColWidth="10.875" defaultRowHeight="15"/>
  <cols>
    <col min="1" max="1" width="10" style="39" customWidth="1"/>
    <col min="2" max="16384" width="10.875" style="39"/>
  </cols>
  <sheetData>
    <row r="1" spans="1:11" ht="24.95" customHeight="1">
      <c r="A1" s="347" t="s">
        <v>130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s="40" customFormat="1" ht="24" customHeight="1">
      <c r="A2" s="348" t="str">
        <f>+ROUND(B30,0)&amp;""""&amp;" "&amp;ROUND(E30,2)&amp;" Aspect Ratio"</f>
        <v>280" 1.78 Aspect Ratio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/>
      <c r="D4" s="41"/>
      <c r="E4" s="41"/>
      <c r="F4" s="41"/>
      <c r="G4" s="41"/>
      <c r="J4" s="41"/>
      <c r="K4" s="41"/>
    </row>
    <row r="5" spans="1:11">
      <c r="A5" s="41"/>
      <c r="D5" s="41"/>
      <c r="E5" s="199">
        <f>+C30</f>
        <v>7112</v>
      </c>
      <c r="F5" s="41"/>
      <c r="G5" s="41"/>
      <c r="J5" s="41"/>
      <c r="K5" s="41"/>
    </row>
    <row r="6" spans="1:11">
      <c r="A6" s="41"/>
      <c r="D6" s="41"/>
      <c r="E6" s="5">
        <f>+E5/$E$35</f>
        <v>280</v>
      </c>
      <c r="G6" s="41"/>
      <c r="J6" s="41"/>
      <c r="K6" s="41"/>
    </row>
    <row r="7" spans="1:11">
      <c r="A7" s="41"/>
      <c r="D7" s="41"/>
      <c r="E7" s="41"/>
      <c r="F7" s="41"/>
      <c r="G7" s="41"/>
      <c r="J7" s="41"/>
      <c r="K7" s="41"/>
    </row>
    <row r="8" spans="1:11">
      <c r="A8" s="41"/>
      <c r="D8" s="41"/>
      <c r="E8" s="41"/>
      <c r="F8" s="41"/>
      <c r="G8" s="41"/>
      <c r="J8" s="41"/>
      <c r="K8" s="41"/>
    </row>
    <row r="9" spans="1:11">
      <c r="A9" s="41"/>
      <c r="E9" s="41"/>
      <c r="F9" s="41"/>
      <c r="G9" s="41"/>
      <c r="J9" s="41"/>
      <c r="K9" s="41"/>
    </row>
    <row r="10" spans="1:11">
      <c r="A10" s="41"/>
      <c r="D10" s="41"/>
      <c r="E10" s="41"/>
      <c r="F10" s="41"/>
      <c r="G10" s="41"/>
      <c r="J10" s="41"/>
      <c r="K10" s="41"/>
    </row>
    <row r="11" spans="1:11">
      <c r="A11" s="41"/>
      <c r="D11" s="199">
        <f>+C31</f>
        <v>3995.5056179775279</v>
      </c>
      <c r="E11" s="41"/>
      <c r="G11" s="41"/>
      <c r="K11" s="41"/>
    </row>
    <row r="12" spans="1:11">
      <c r="A12" s="41"/>
      <c r="D12" s="198">
        <f>+D11/$E$35</f>
        <v>157.30337078651687</v>
      </c>
      <c r="E12" s="41"/>
      <c r="F12" s="42"/>
      <c r="G12" s="41"/>
      <c r="J12" s="41"/>
      <c r="K12" s="41"/>
    </row>
    <row r="13" spans="1:11">
      <c r="A13" s="41"/>
      <c r="D13" s="41"/>
      <c r="E13" s="41"/>
      <c r="F13" s="41"/>
      <c r="G13" s="41"/>
      <c r="J13" s="7">
        <f>+C33</f>
        <v>4147.5056179775274</v>
      </c>
      <c r="K13" s="41"/>
    </row>
    <row r="14" spans="1:11">
      <c r="A14" s="41"/>
      <c r="D14" s="41"/>
      <c r="E14" s="41"/>
      <c r="F14" s="199">
        <f>+C34</f>
        <v>8157.4879186726339</v>
      </c>
      <c r="G14" s="41"/>
      <c r="J14" s="43">
        <f>+J13/$E$35</f>
        <v>163.28762275502078</v>
      </c>
      <c r="K14" s="41"/>
    </row>
    <row r="15" spans="1:11">
      <c r="A15" s="41"/>
      <c r="D15" s="41"/>
      <c r="E15" s="41"/>
      <c r="F15" s="198">
        <f>+F14/$E$35</f>
        <v>321.16094168002496</v>
      </c>
      <c r="G15" s="41"/>
      <c r="J15" s="41"/>
      <c r="K15" s="41"/>
    </row>
    <row r="16" spans="1:11">
      <c r="A16" s="41"/>
      <c r="D16" s="41"/>
      <c r="E16" s="41"/>
      <c r="F16" s="41"/>
      <c r="G16" s="41"/>
      <c r="J16" s="41"/>
      <c r="K16" s="41"/>
    </row>
    <row r="17" spans="1:11">
      <c r="A17" s="41"/>
      <c r="D17" s="41"/>
      <c r="E17" s="41"/>
      <c r="F17" s="41"/>
      <c r="G17" s="41"/>
      <c r="J17" s="41"/>
      <c r="K17" s="41"/>
    </row>
    <row r="18" spans="1:11">
      <c r="A18" s="41"/>
      <c r="D18" s="41"/>
      <c r="E18" s="41"/>
      <c r="F18" s="41"/>
      <c r="G18" s="41"/>
      <c r="J18" s="41"/>
      <c r="K18" s="41"/>
    </row>
    <row r="19" spans="1:11">
      <c r="A19" s="41"/>
      <c r="D19" s="41"/>
      <c r="E19" s="41"/>
      <c r="F19" s="41"/>
      <c r="G19" s="41"/>
      <c r="J19" s="41"/>
      <c r="K19" s="41"/>
    </row>
    <row r="20" spans="1:11">
      <c r="A20" s="41"/>
      <c r="D20" s="41"/>
      <c r="E20" s="41"/>
      <c r="F20" s="41"/>
      <c r="G20" s="41"/>
      <c r="J20" s="41"/>
      <c r="K20" s="41"/>
    </row>
    <row r="21" spans="1:11">
      <c r="A21" s="41"/>
      <c r="D21" s="41"/>
      <c r="E21" s="44"/>
      <c r="F21" s="41"/>
      <c r="G21" s="41"/>
      <c r="J21" s="41"/>
      <c r="K21" s="41"/>
    </row>
    <row r="22" spans="1:11">
      <c r="A22" s="41"/>
      <c r="D22" s="41"/>
      <c r="F22" s="41"/>
      <c r="G22" s="41"/>
      <c r="J22" s="41"/>
      <c r="K22" s="41"/>
    </row>
    <row r="23" spans="1:11">
      <c r="A23" s="41"/>
      <c r="D23" s="41"/>
      <c r="E23" s="41"/>
      <c r="F23" s="41"/>
      <c r="G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199" t="str">
        <f>+C35</f>
        <v>TBC</v>
      </c>
    </row>
    <row r="26" spans="1:11">
      <c r="A26" s="41"/>
      <c r="B26" s="41"/>
      <c r="C26" s="41"/>
      <c r="D26" s="41"/>
      <c r="E26" s="199">
        <f>+C32</f>
        <v>7264</v>
      </c>
      <c r="F26" s="41"/>
      <c r="G26" s="41"/>
      <c r="H26" s="41"/>
      <c r="I26" s="41"/>
      <c r="J26" s="41"/>
      <c r="K26" s="198" t="str">
        <f>K25</f>
        <v>TBC</v>
      </c>
    </row>
    <row r="27" spans="1:11">
      <c r="A27" s="41"/>
      <c r="B27" s="41"/>
      <c r="C27" s="41"/>
      <c r="D27" s="41"/>
      <c r="E27" s="5">
        <f>+E26/$E$35</f>
        <v>285.98425196850394</v>
      </c>
      <c r="F27" s="41"/>
      <c r="G27" s="41"/>
      <c r="H27" s="41"/>
      <c r="I27" s="41"/>
      <c r="J27" s="41"/>
    </row>
    <row r="28" spans="1:11" ht="15.75" thickBot="1">
      <c r="A28" s="41"/>
      <c r="B28" s="41"/>
      <c r="C28" s="41"/>
      <c r="D28" s="41"/>
      <c r="E28" s="5"/>
      <c r="F28" s="41"/>
      <c r="G28" s="41"/>
      <c r="H28" s="41"/>
      <c r="I28" s="41"/>
      <c r="J28" s="41"/>
    </row>
    <row r="29" spans="1:11">
      <c r="A29" s="45"/>
      <c r="B29" s="46" t="s">
        <v>9</v>
      </c>
      <c r="C29" s="47" t="s">
        <v>10</v>
      </c>
      <c r="D29" s="48" t="s">
        <v>11</v>
      </c>
      <c r="E29" s="382" t="s">
        <v>161</v>
      </c>
      <c r="F29" s="383"/>
      <c r="G29" s="48" t="s">
        <v>12</v>
      </c>
      <c r="H29" s="325">
        <f ca="1">NOW()</f>
        <v>43166.556318402778</v>
      </c>
      <c r="I29" s="325"/>
      <c r="J29" s="325"/>
      <c r="K29" s="326"/>
    </row>
    <row r="30" spans="1:11">
      <c r="A30" s="49" t="s">
        <v>13</v>
      </c>
      <c r="B30" s="50">
        <f>+C30/$E$35</f>
        <v>280</v>
      </c>
      <c r="C30" s="16">
        <v>7112</v>
      </c>
      <c r="D30" s="51" t="s">
        <v>14</v>
      </c>
      <c r="E30" s="327">
        <v>1.78</v>
      </c>
      <c r="F30" s="328"/>
      <c r="G30" s="52" t="s">
        <v>15</v>
      </c>
      <c r="H30" s="349"/>
      <c r="I30" s="349"/>
      <c r="J30" s="349"/>
      <c r="K30" s="350"/>
    </row>
    <row r="31" spans="1:11">
      <c r="A31" s="49" t="s">
        <v>16</v>
      </c>
      <c r="B31" s="50">
        <f>+C31/$E$35</f>
        <v>157.30337078651687</v>
      </c>
      <c r="C31" s="18">
        <f>C30/E30</f>
        <v>3995.5056179775279</v>
      </c>
      <c r="D31" s="51" t="s">
        <v>17</v>
      </c>
      <c r="E31" s="336" t="s">
        <v>18</v>
      </c>
      <c r="F31" s="337"/>
      <c r="G31" s="52" t="s">
        <v>19</v>
      </c>
      <c r="H31" s="338"/>
      <c r="I31" s="339"/>
      <c r="J31" s="339"/>
      <c r="K31" s="340"/>
    </row>
    <row r="32" spans="1:11">
      <c r="A32" s="49" t="s">
        <v>20</v>
      </c>
      <c r="B32" s="50">
        <f>+C32/$E$35</f>
        <v>285.98425196850394</v>
      </c>
      <c r="C32" s="19">
        <f>+C30+(2*E34)</f>
        <v>7264</v>
      </c>
      <c r="D32" s="52" t="s">
        <v>21</v>
      </c>
      <c r="E32" s="55" t="s">
        <v>18</v>
      </c>
      <c r="F32" s="56" t="s">
        <v>22</v>
      </c>
      <c r="G32" s="41"/>
      <c r="H32" s="41"/>
      <c r="I32" s="41"/>
      <c r="J32" s="41"/>
      <c r="K32" s="57" t="s">
        <v>50</v>
      </c>
    </row>
    <row r="33" spans="1:11">
      <c r="A33" s="49" t="s">
        <v>23</v>
      </c>
      <c r="B33" s="50">
        <f>+C33/$E$35</f>
        <v>163.28762275502078</v>
      </c>
      <c r="C33" s="19">
        <f>+C31+(2*E34)</f>
        <v>4147.5056179775274</v>
      </c>
      <c r="D33" s="58" t="s">
        <v>24</v>
      </c>
      <c r="E33" s="59" t="s">
        <v>18</v>
      </c>
      <c r="F33" s="341"/>
      <c r="G33" s="342"/>
      <c r="H33" s="342"/>
      <c r="I33" s="342"/>
      <c r="J33" s="342"/>
      <c r="K33" s="343"/>
    </row>
    <row r="34" spans="1:11">
      <c r="A34" s="49" t="s">
        <v>25</v>
      </c>
      <c r="B34" s="50">
        <f>+C34/$E$35</f>
        <v>321.16094168002496</v>
      </c>
      <c r="C34" s="19">
        <f>SQRT((C30^2)+(C31^2))</f>
        <v>8157.4879186726339</v>
      </c>
      <c r="D34" s="58" t="s">
        <v>26</v>
      </c>
      <c r="E34" s="53">
        <v>76</v>
      </c>
      <c r="F34" s="341"/>
      <c r="G34" s="342"/>
      <c r="H34" s="342"/>
      <c r="I34" s="342"/>
      <c r="J34" s="342"/>
      <c r="K34" s="343"/>
    </row>
    <row r="35" spans="1:11" ht="15.75" thickBot="1">
      <c r="A35" s="60" t="s">
        <v>27</v>
      </c>
      <c r="B35" s="61" t="str">
        <f>C35</f>
        <v>TBC</v>
      </c>
      <c r="C35" s="75" t="s">
        <v>139</v>
      </c>
      <c r="D35" s="63" t="s">
        <v>28</v>
      </c>
      <c r="E35" s="64">
        <v>25.4</v>
      </c>
      <c r="F35" s="344"/>
      <c r="G35" s="345"/>
      <c r="H35" s="345"/>
      <c r="I35" s="345"/>
      <c r="J35" s="345"/>
      <c r="K35" s="346"/>
    </row>
    <row r="37" spans="1:11" s="2" customFormat="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s="2" customFormat="1" ht="6.95" customHeight="1">
      <c r="B38" s="125"/>
      <c r="C38" s="4"/>
      <c r="D38" s="26"/>
      <c r="E38" s="26"/>
      <c r="F38" s="4"/>
    </row>
    <row r="39" spans="1:11" s="2" customFormat="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s="2" customFormat="1" ht="15.95" customHeight="1">
      <c r="B40" s="119" t="s">
        <v>32</v>
      </c>
      <c r="C40" s="122" t="s">
        <v>33</v>
      </c>
      <c r="D40" s="121">
        <v>315</v>
      </c>
      <c r="E40" s="121">
        <f>D40*25.4</f>
        <v>8001</v>
      </c>
      <c r="F40" s="4"/>
    </row>
    <row r="41" spans="1:11" s="2" customFormat="1" ht="15.95" customHeight="1">
      <c r="B41" s="119" t="s">
        <v>34</v>
      </c>
      <c r="C41" s="122" t="s">
        <v>35</v>
      </c>
      <c r="D41" s="121">
        <v>425</v>
      </c>
      <c r="E41" s="121">
        <f>D41*25.4</f>
        <v>10795</v>
      </c>
      <c r="G41" s="4" t="s">
        <v>36</v>
      </c>
    </row>
    <row r="42" spans="1:11" s="2" customFormat="1" ht="15.95" customHeight="1">
      <c r="B42" s="4"/>
      <c r="D42" s="175"/>
      <c r="E42" s="176"/>
      <c r="F42" s="121"/>
      <c r="G42" s="121"/>
      <c r="H42" s="4"/>
    </row>
    <row r="43" spans="1:11">
      <c r="G43" s="4"/>
    </row>
    <row r="44" spans="1:11">
      <c r="B44" s="65"/>
      <c r="C44" s="65"/>
      <c r="D44" s="65"/>
      <c r="E44" s="65"/>
      <c r="F44" s="65"/>
      <c r="G44" s="65"/>
      <c r="H44" s="65"/>
    </row>
    <row r="45" spans="1:11">
      <c r="B45" s="143" t="s">
        <v>42</v>
      </c>
      <c r="C45" s="144"/>
      <c r="D45" s="144"/>
      <c r="E45" s="144"/>
      <c r="F45" s="144"/>
      <c r="G45" s="144"/>
      <c r="H45" s="144"/>
      <c r="I45" s="144"/>
      <c r="J45" s="144"/>
      <c r="K45" s="144"/>
    </row>
    <row r="46" spans="1:11">
      <c r="B46" s="2" t="s">
        <v>138</v>
      </c>
      <c r="C46" s="2"/>
      <c r="D46" s="2"/>
      <c r="E46" s="2"/>
      <c r="F46" s="2"/>
      <c r="G46" s="2"/>
      <c r="H46" s="2"/>
      <c r="I46" s="2"/>
    </row>
    <row r="47" spans="1:11">
      <c r="B47" s="2" t="s">
        <v>44</v>
      </c>
      <c r="C47" s="2"/>
      <c r="D47" s="2"/>
      <c r="E47" s="2"/>
      <c r="F47" s="2"/>
      <c r="G47" s="2"/>
      <c r="H47" s="2"/>
      <c r="I47" s="2"/>
    </row>
    <row r="48" spans="1:11">
      <c r="B48" s="2"/>
      <c r="C48" s="2"/>
      <c r="D48" s="2"/>
      <c r="E48" s="2"/>
      <c r="F48" s="2"/>
      <c r="G48" s="2"/>
      <c r="H48" s="2"/>
      <c r="I48" s="2"/>
    </row>
    <row r="49" spans="2:4">
      <c r="B49" s="66"/>
    </row>
    <row r="50" spans="2:4">
      <c r="B50" s="66"/>
    </row>
    <row r="51" spans="2:4">
      <c r="B51" s="66"/>
    </row>
    <row r="52" spans="2:4">
      <c r="B52" s="67"/>
      <c r="D52" s="68"/>
    </row>
  </sheetData>
  <mergeCells count="9">
    <mergeCell ref="E31:F31"/>
    <mergeCell ref="H31:K31"/>
    <mergeCell ref="F33:K35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108"/>
  <sheetViews>
    <sheetView showGridLines="0" workbookViewId="0">
      <selection activeCell="C30" sqref="C30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131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168" 2.4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D4" s="4"/>
      <c r="E4" s="4"/>
      <c r="F4" s="4"/>
      <c r="G4" s="4"/>
      <c r="J4" s="4"/>
      <c r="K4" s="4"/>
    </row>
    <row r="5" spans="1:11">
      <c r="A5" s="4"/>
      <c r="D5" s="4"/>
      <c r="E5" s="199">
        <f>+C29</f>
        <v>4262</v>
      </c>
      <c r="F5" s="4"/>
      <c r="G5" s="4"/>
      <c r="J5" s="4"/>
      <c r="K5" s="4"/>
    </row>
    <row r="6" spans="1:11">
      <c r="A6" s="4"/>
      <c r="D6" s="4"/>
      <c r="E6" s="5">
        <f>+E5/$E$34</f>
        <v>167.7952755905512</v>
      </c>
      <c r="G6" s="4"/>
      <c r="J6" s="4"/>
      <c r="K6" s="4"/>
    </row>
    <row r="7" spans="1:11">
      <c r="A7" s="4"/>
      <c r="D7" s="4"/>
      <c r="E7" s="4"/>
      <c r="F7" s="4"/>
      <c r="G7" s="4"/>
      <c r="J7" s="4"/>
      <c r="K7" s="4"/>
    </row>
    <row r="8" spans="1:11">
      <c r="A8" s="4"/>
      <c r="D8" s="4"/>
      <c r="E8" s="4"/>
      <c r="F8" s="4"/>
      <c r="G8" s="4"/>
      <c r="J8" s="4"/>
      <c r="K8" s="4"/>
    </row>
    <row r="9" spans="1:11">
      <c r="A9" s="4"/>
      <c r="E9" s="4"/>
      <c r="F9" s="4"/>
      <c r="G9" s="4"/>
      <c r="J9" s="4"/>
      <c r="K9" s="4"/>
    </row>
    <row r="10" spans="1:11">
      <c r="A10" s="4"/>
      <c r="D10" s="4"/>
      <c r="E10" s="4"/>
      <c r="F10" s="4"/>
      <c r="G10" s="4"/>
      <c r="J10" s="4"/>
      <c r="K10" s="4"/>
    </row>
    <row r="11" spans="1:11">
      <c r="A11" s="4"/>
      <c r="D11" s="199">
        <f>+C30</f>
        <v>1775.8333333333335</v>
      </c>
      <c r="E11" s="4"/>
      <c r="G11" s="4"/>
      <c r="K11" s="4"/>
    </row>
    <row r="12" spans="1:11">
      <c r="A12" s="4"/>
      <c r="D12" s="198">
        <f>+D11/$E$34</f>
        <v>69.914698162729664</v>
      </c>
      <c r="E12" s="4"/>
      <c r="F12" s="6"/>
      <c r="G12" s="4"/>
      <c r="J12" s="4"/>
      <c r="K12" s="4"/>
    </row>
    <row r="13" spans="1:11">
      <c r="A13" s="4"/>
      <c r="D13" s="4"/>
      <c r="E13" s="4"/>
      <c r="F13" s="4"/>
      <c r="G13" s="4"/>
      <c r="J13" s="7">
        <f>+C32</f>
        <v>1775.8333333333335</v>
      </c>
      <c r="K13" s="4"/>
    </row>
    <row r="14" spans="1:11">
      <c r="A14" s="4"/>
      <c r="D14" s="4"/>
      <c r="E14" s="4"/>
      <c r="F14" s="199">
        <f>+C33</f>
        <v>4617.166666666667</v>
      </c>
      <c r="G14" s="4"/>
      <c r="J14" s="5">
        <f>+J13/$E$34</f>
        <v>69.914698162729664</v>
      </c>
      <c r="K14" s="4"/>
    </row>
    <row r="15" spans="1:11">
      <c r="A15" s="4"/>
      <c r="D15" s="4"/>
      <c r="E15" s="4"/>
      <c r="F15" s="198">
        <f>+F14/$E$34</f>
        <v>181.77821522309713</v>
      </c>
      <c r="G15" s="4"/>
      <c r="J15" s="4"/>
      <c r="K15" s="4"/>
    </row>
    <row r="16" spans="1:11">
      <c r="A16" s="4"/>
      <c r="D16" s="4"/>
      <c r="E16" s="4"/>
      <c r="F16" s="4"/>
      <c r="G16" s="4"/>
      <c r="J16" s="4"/>
      <c r="K16" s="4"/>
    </row>
    <row r="17" spans="1:11">
      <c r="A17" s="4"/>
      <c r="D17" s="4"/>
      <c r="E17" s="4"/>
      <c r="F17" s="4"/>
      <c r="G17" s="4"/>
      <c r="J17" s="4"/>
      <c r="K17" s="4"/>
    </row>
    <row r="18" spans="1:11">
      <c r="A18" s="4"/>
      <c r="D18" s="4"/>
      <c r="E18" s="4"/>
      <c r="F18" s="4"/>
      <c r="G18" s="4"/>
      <c r="J18" s="4"/>
      <c r="K18" s="4"/>
    </row>
    <row r="19" spans="1:11">
      <c r="A19" s="4"/>
      <c r="D19" s="4"/>
      <c r="E19" s="4"/>
      <c r="F19" s="4"/>
      <c r="G19" s="4"/>
      <c r="J19" s="4"/>
      <c r="K19" s="4"/>
    </row>
    <row r="20" spans="1:11">
      <c r="A20" s="4"/>
      <c r="D20" s="4"/>
      <c r="E20" s="4"/>
      <c r="F20" s="4"/>
      <c r="G20" s="4"/>
      <c r="J20" s="4"/>
      <c r="K20" s="4"/>
    </row>
    <row r="21" spans="1:11">
      <c r="A21" s="4"/>
      <c r="D21" s="4"/>
      <c r="E21" s="8"/>
      <c r="F21" s="4"/>
      <c r="G21" s="4"/>
      <c r="J21" s="4"/>
      <c r="K21" s="4"/>
    </row>
    <row r="22" spans="1:11">
      <c r="A22" s="4"/>
      <c r="D22" s="4"/>
      <c r="E22" s="9"/>
      <c r="F22" s="4"/>
      <c r="G22" s="4"/>
      <c r="J22" s="4"/>
      <c r="K22" s="4"/>
    </row>
    <row r="23" spans="1:11">
      <c r="A23" s="4"/>
      <c r="D23" s="4"/>
      <c r="E23" s="4"/>
      <c r="F23" s="4"/>
      <c r="G23" s="4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+C34</f>
        <v>208</v>
      </c>
    </row>
    <row r="26" spans="1:11">
      <c r="A26" s="4"/>
      <c r="B26" s="4"/>
      <c r="C26" s="4"/>
      <c r="D26" s="4"/>
      <c r="E26" s="199">
        <f>+C31</f>
        <v>4262</v>
      </c>
      <c r="F26" s="4"/>
      <c r="G26" s="4"/>
      <c r="H26" s="4"/>
      <c r="I26" s="4"/>
      <c r="J26" s="4"/>
      <c r="K26" s="198">
        <f>+K25/$E$34</f>
        <v>8.1889763779527556</v>
      </c>
    </row>
    <row r="27" spans="1:11" ht="15.75" thickBot="1">
      <c r="A27" s="4"/>
      <c r="B27" s="4"/>
      <c r="C27" s="4"/>
      <c r="D27" s="4"/>
      <c r="E27" s="198">
        <f>+E26/$E$34</f>
        <v>167.7952755905512</v>
      </c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82" t="s">
        <v>167</v>
      </c>
      <c r="F28" s="383"/>
      <c r="G28" s="13" t="s">
        <v>12</v>
      </c>
      <c r="H28" s="325">
        <f ca="1">NOW()</f>
        <v>43166.556318287039</v>
      </c>
      <c r="I28" s="325"/>
      <c r="J28" s="325"/>
      <c r="K28" s="326"/>
    </row>
    <row r="29" spans="1:11">
      <c r="A29" s="149" t="s">
        <v>13</v>
      </c>
      <c r="B29" s="15">
        <f t="shared" ref="B29:B34" si="0">+C29/$E$34</f>
        <v>167.7952755905512</v>
      </c>
      <c r="C29" s="16">
        <v>4262</v>
      </c>
      <c r="D29" s="150" t="s">
        <v>14</v>
      </c>
      <c r="E29" s="327">
        <v>2.4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15">
        <f t="shared" si="0"/>
        <v>69.914698162729664</v>
      </c>
      <c r="C30" s="18">
        <f>C29/E29</f>
        <v>1775.8333333333335</v>
      </c>
      <c r="D30" s="17" t="s">
        <v>17</v>
      </c>
      <c r="E30" s="316" t="s">
        <v>18</v>
      </c>
      <c r="F30" s="317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15">
        <f t="shared" si="0"/>
        <v>167.7952755905512</v>
      </c>
      <c r="C31" s="19">
        <f>+C29+(2*E33)</f>
        <v>4262</v>
      </c>
      <c r="D31" s="17" t="s">
        <v>21</v>
      </c>
      <c r="E31" s="20" t="s">
        <v>18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15">
        <f t="shared" si="0"/>
        <v>69.914698162729664</v>
      </c>
      <c r="C32" s="19">
        <f>+C30+(2*E33)</f>
        <v>1775.8333333333335</v>
      </c>
      <c r="D32" s="23" t="s">
        <v>24</v>
      </c>
      <c r="E32" s="24" t="s">
        <v>18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15">
        <f t="shared" si="0"/>
        <v>181.77821522309713</v>
      </c>
      <c r="C33" s="19">
        <f>SQRT((C29^2)+(C30^2))</f>
        <v>4617.166666666667</v>
      </c>
      <c r="D33" s="23" t="s">
        <v>26</v>
      </c>
      <c r="E33" s="28">
        <v>0</v>
      </c>
      <c r="F33" s="25"/>
      <c r="G33" s="26"/>
      <c r="H33" s="26"/>
      <c r="I33" s="26"/>
      <c r="J33" s="26"/>
      <c r="K33" s="27"/>
    </row>
    <row r="34" spans="1:11" ht="15.95" customHeight="1" thickBot="1">
      <c r="A34" s="29" t="s">
        <v>27</v>
      </c>
      <c r="B34" s="30">
        <f t="shared" si="0"/>
        <v>8.1889763779527556</v>
      </c>
      <c r="C34" s="31">
        <v>208</v>
      </c>
      <c r="D34" s="32" t="s">
        <v>28</v>
      </c>
      <c r="E34" s="33">
        <v>25.4</v>
      </c>
      <c r="F34" s="34"/>
      <c r="G34" s="34"/>
      <c r="H34" s="34"/>
      <c r="I34" s="34"/>
      <c r="J34" s="34"/>
      <c r="K34" s="35" t="s">
        <v>29</v>
      </c>
    </row>
    <row r="35" spans="1:11" ht="15.95" customHeight="1">
      <c r="D35" s="4"/>
      <c r="E35" s="4"/>
    </row>
    <row r="36" spans="1:11" ht="15.95" customHeight="1">
      <c r="B36" s="123" t="s">
        <v>30</v>
      </c>
      <c r="C36" s="127"/>
      <c r="D36" s="132"/>
      <c r="E36" s="132"/>
      <c r="F36" s="127"/>
      <c r="G36" s="127"/>
      <c r="H36" s="127"/>
      <c r="I36" s="127"/>
      <c r="J36" s="127"/>
      <c r="K36" s="127"/>
    </row>
    <row r="37" spans="1:11" ht="6.95" customHeight="1">
      <c r="B37" s="125"/>
      <c r="C37" s="4"/>
      <c r="D37" s="26"/>
      <c r="E37" s="26"/>
      <c r="F37" s="4"/>
    </row>
    <row r="38" spans="1:11" ht="15.95" customHeight="1">
      <c r="B38" s="119"/>
      <c r="C38" s="133" t="s">
        <v>31</v>
      </c>
      <c r="D38" s="133" t="s">
        <v>9</v>
      </c>
      <c r="E38" s="133" t="s">
        <v>10</v>
      </c>
    </row>
    <row r="39" spans="1:11" ht="15.95" customHeight="1">
      <c r="B39" s="119" t="s">
        <v>32</v>
      </c>
      <c r="C39" s="122" t="s">
        <v>33</v>
      </c>
      <c r="D39" s="121">
        <v>315</v>
      </c>
      <c r="E39" s="121">
        <f>D39*25.4</f>
        <v>8001</v>
      </c>
      <c r="F39" s="4"/>
    </row>
    <row r="40" spans="1:11" ht="15.95" customHeight="1">
      <c r="B40" s="119" t="s">
        <v>34</v>
      </c>
      <c r="C40" s="122" t="s">
        <v>35</v>
      </c>
      <c r="D40" s="121">
        <v>425</v>
      </c>
      <c r="E40" s="121">
        <f>D40*25.4</f>
        <v>10795</v>
      </c>
      <c r="G40" s="4" t="s">
        <v>36</v>
      </c>
    </row>
    <row r="41" spans="1:11" ht="15.95" customHeight="1"/>
    <row r="42" spans="1:11" ht="15.95" customHeight="1">
      <c r="B42" s="118" t="s">
        <v>37</v>
      </c>
      <c r="C42" s="127"/>
      <c r="D42" s="127"/>
      <c r="E42" s="127"/>
      <c r="F42" s="127"/>
      <c r="G42" s="127"/>
      <c r="H42" s="127"/>
      <c r="I42" s="127"/>
      <c r="J42" s="127"/>
      <c r="K42" s="127"/>
    </row>
    <row r="43" spans="1:11" ht="15.95" customHeight="1">
      <c r="B43" s="36" t="s">
        <v>38</v>
      </c>
      <c r="C43" s="36"/>
      <c r="D43" s="36"/>
      <c r="E43" s="36"/>
      <c r="F43" s="36"/>
      <c r="G43" s="36"/>
      <c r="H43" s="36"/>
    </row>
    <row r="44" spans="1:11">
      <c r="B44" s="36" t="s">
        <v>39</v>
      </c>
      <c r="C44" s="36"/>
      <c r="D44" s="36"/>
      <c r="E44" s="36"/>
      <c r="F44" s="36"/>
      <c r="G44" s="36"/>
      <c r="H44" s="36"/>
    </row>
    <row r="45" spans="1:11">
      <c r="B45" s="36" t="s">
        <v>40</v>
      </c>
      <c r="C45" s="36"/>
      <c r="D45" s="36"/>
      <c r="E45" s="36"/>
      <c r="F45" s="36"/>
      <c r="G45" s="36"/>
      <c r="H45" s="36"/>
    </row>
    <row r="46" spans="1:11">
      <c r="B46" s="36" t="s">
        <v>41</v>
      </c>
      <c r="C46" s="36"/>
      <c r="D46" s="36"/>
      <c r="E46" s="36"/>
      <c r="F46" s="36"/>
      <c r="G46" s="36"/>
      <c r="H46" s="36"/>
    </row>
    <row r="47" spans="1:11" ht="9.9499999999999993" customHeight="1">
      <c r="B47" s="36"/>
      <c r="C47" s="36"/>
      <c r="D47" s="36"/>
      <c r="E47" s="36"/>
      <c r="F47" s="36"/>
      <c r="G47" s="36"/>
      <c r="H47" s="36"/>
    </row>
    <row r="48" spans="1:11">
      <c r="B48" s="118" t="s">
        <v>42</v>
      </c>
      <c r="C48" s="127"/>
      <c r="D48" s="127"/>
      <c r="E48" s="127"/>
      <c r="F48" s="127"/>
      <c r="G48" s="127"/>
      <c r="H48" s="127"/>
      <c r="I48" s="127"/>
      <c r="J48" s="127"/>
      <c r="K48" s="127"/>
    </row>
    <row r="49" spans="2:2">
      <c r="B49" s="2" t="s">
        <v>138</v>
      </c>
    </row>
    <row r="50" spans="2:2">
      <c r="B50" s="2" t="s">
        <v>44</v>
      </c>
    </row>
    <row r="51" spans="2:2" ht="8.1" customHeight="1"/>
    <row r="52" spans="2:2">
      <c r="B52" s="37"/>
    </row>
    <row r="53" spans="2:2">
      <c r="B53" s="37"/>
    </row>
    <row r="54" spans="2:2">
      <c r="B54" s="37"/>
    </row>
    <row r="55" spans="2:2">
      <c r="B55" s="38"/>
    </row>
    <row r="56" spans="2:2">
      <c r="B56" s="38"/>
    </row>
    <row r="57" spans="2:2">
      <c r="B57" s="38"/>
    </row>
    <row r="58" spans="2:2">
      <c r="B58" s="38"/>
    </row>
    <row r="59" spans="2:2">
      <c r="B59" s="38"/>
    </row>
    <row r="60" spans="2:2">
      <c r="B60" s="38"/>
    </row>
    <row r="61" spans="2:2">
      <c r="B61" s="38"/>
    </row>
    <row r="62" spans="2:2">
      <c r="B62" s="38"/>
    </row>
    <row r="63" spans="2:2">
      <c r="B63" s="38"/>
    </row>
    <row r="64" spans="2:2">
      <c r="B64" s="38"/>
    </row>
    <row r="65" spans="2:2">
      <c r="B65" s="38"/>
    </row>
    <row r="66" spans="2:2">
      <c r="B66" s="38"/>
    </row>
    <row r="67" spans="2:2">
      <c r="B67" s="38"/>
    </row>
    <row r="68" spans="2:2">
      <c r="B68" s="38"/>
    </row>
    <row r="69" spans="2:2">
      <c r="B69" s="38"/>
    </row>
    <row r="70" spans="2:2">
      <c r="B70" s="38"/>
    </row>
    <row r="71" spans="2:2">
      <c r="B71" s="38"/>
    </row>
    <row r="72" spans="2:2">
      <c r="B72" s="38"/>
    </row>
    <row r="73" spans="2:2">
      <c r="B73" s="38"/>
    </row>
    <row r="74" spans="2:2">
      <c r="B74" s="38"/>
    </row>
    <row r="75" spans="2:2">
      <c r="B75" s="38"/>
    </row>
    <row r="76" spans="2:2">
      <c r="B76" s="38"/>
    </row>
    <row r="77" spans="2:2">
      <c r="B77" s="38"/>
    </row>
    <row r="78" spans="2:2">
      <c r="B78" s="38"/>
    </row>
    <row r="79" spans="2:2">
      <c r="B79" s="38"/>
    </row>
    <row r="80" spans="2:2">
      <c r="B80" s="38"/>
    </row>
    <row r="81" spans="2:2">
      <c r="B81" s="38"/>
    </row>
    <row r="82" spans="2:2">
      <c r="B82" s="38"/>
    </row>
    <row r="83" spans="2:2">
      <c r="B83" s="38"/>
    </row>
    <row r="84" spans="2:2">
      <c r="B84" s="38"/>
    </row>
    <row r="85" spans="2:2">
      <c r="B85" s="38"/>
    </row>
    <row r="86" spans="2:2">
      <c r="B86" s="38"/>
    </row>
    <row r="87" spans="2:2">
      <c r="B87" s="38"/>
    </row>
    <row r="88" spans="2:2">
      <c r="B88" s="38"/>
    </row>
    <row r="89" spans="2:2">
      <c r="B89" s="38"/>
    </row>
    <row r="90" spans="2:2">
      <c r="B90" s="38"/>
    </row>
    <row r="91" spans="2:2">
      <c r="B91" s="38"/>
    </row>
    <row r="92" spans="2:2">
      <c r="B92" s="38"/>
    </row>
    <row r="93" spans="2:2">
      <c r="B93" s="38"/>
    </row>
    <row r="94" spans="2:2">
      <c r="B94" s="38"/>
    </row>
    <row r="95" spans="2:2">
      <c r="B95" s="38"/>
    </row>
    <row r="96" spans="2:2">
      <c r="B96" s="38"/>
    </row>
    <row r="97" spans="2:2">
      <c r="B97" s="38"/>
    </row>
    <row r="98" spans="2:2">
      <c r="B98" s="38"/>
    </row>
    <row r="99" spans="2:2">
      <c r="B99" s="38"/>
    </row>
    <row r="100" spans="2:2">
      <c r="B100" s="38"/>
    </row>
    <row r="101" spans="2:2">
      <c r="B101" s="38"/>
    </row>
    <row r="102" spans="2:2">
      <c r="B102" s="38"/>
    </row>
    <row r="103" spans="2:2">
      <c r="B103" s="38"/>
    </row>
    <row r="104" spans="2:2">
      <c r="B104" s="38"/>
    </row>
    <row r="105" spans="2:2">
      <c r="B105" s="38"/>
    </row>
    <row r="106" spans="2:2">
      <c r="B106" s="38"/>
    </row>
    <row r="107" spans="2:2">
      <c r="B107" s="38"/>
    </row>
    <row r="108" spans="2:2">
      <c r="B108" s="38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08"/>
  <sheetViews>
    <sheetView showGridLines="0" workbookViewId="0">
      <selection activeCell="E30" sqref="E30:F30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8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111" 2.37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D4" s="4"/>
      <c r="E4" s="4"/>
      <c r="F4" s="4"/>
      <c r="G4" s="4"/>
      <c r="J4" s="4"/>
      <c r="K4" s="4"/>
    </row>
    <row r="5" spans="1:11">
      <c r="A5" s="4"/>
      <c r="D5" s="4"/>
      <c r="E5" s="199">
        <f>+C29</f>
        <v>2808</v>
      </c>
      <c r="F5" s="4"/>
      <c r="G5" s="4"/>
      <c r="J5" s="4"/>
      <c r="K5" s="4"/>
    </row>
    <row r="6" spans="1:11">
      <c r="A6" s="4"/>
      <c r="D6" s="4"/>
      <c r="E6" s="5">
        <f>+E5/$E$34</f>
        <v>110.55118110236221</v>
      </c>
      <c r="G6" s="4"/>
      <c r="J6" s="4"/>
      <c r="K6" s="4"/>
    </row>
    <row r="7" spans="1:11">
      <c r="A7" s="4"/>
      <c r="D7" s="4"/>
      <c r="E7" s="4"/>
      <c r="F7" s="4"/>
      <c r="G7" s="4"/>
      <c r="J7" s="4"/>
      <c r="K7" s="4"/>
    </row>
    <row r="8" spans="1:11">
      <c r="A8" s="4"/>
      <c r="D8" s="4"/>
      <c r="E8" s="4"/>
      <c r="F8" s="4"/>
      <c r="G8" s="4"/>
      <c r="J8" s="4"/>
      <c r="K8" s="4"/>
    </row>
    <row r="9" spans="1:11">
      <c r="A9" s="4"/>
      <c r="E9" s="4"/>
      <c r="F9" s="4"/>
      <c r="G9" s="4"/>
      <c r="J9" s="4"/>
      <c r="K9" s="4"/>
    </row>
    <row r="10" spans="1:11">
      <c r="A10" s="4"/>
      <c r="D10" s="4"/>
      <c r="E10" s="4"/>
      <c r="F10" s="4"/>
      <c r="G10" s="4"/>
      <c r="J10" s="4"/>
      <c r="K10" s="4"/>
    </row>
    <row r="11" spans="1:11">
      <c r="A11" s="4"/>
      <c r="D11" s="199">
        <f>+C30</f>
        <v>1184.8101265822784</v>
      </c>
      <c r="E11" s="4"/>
      <c r="G11" s="4"/>
      <c r="K11" s="4"/>
    </row>
    <row r="12" spans="1:11">
      <c r="A12" s="4"/>
      <c r="D12" s="198">
        <f>+D11/$E$34</f>
        <v>46.646067975680253</v>
      </c>
      <c r="E12" s="4"/>
      <c r="F12" s="6"/>
      <c r="G12" s="4"/>
      <c r="J12" s="4"/>
      <c r="K12" s="4"/>
    </row>
    <row r="13" spans="1:11">
      <c r="A13" s="4"/>
      <c r="D13" s="4"/>
      <c r="E13" s="4"/>
      <c r="F13" s="4"/>
      <c r="G13" s="4"/>
      <c r="J13" s="7">
        <f>+C32</f>
        <v>1214.8101265822784</v>
      </c>
      <c r="K13" s="4"/>
    </row>
    <row r="14" spans="1:11">
      <c r="A14" s="4"/>
      <c r="D14" s="4"/>
      <c r="E14" s="4"/>
      <c r="F14" s="199">
        <f>+C33</f>
        <v>3047.7268637546763</v>
      </c>
      <c r="G14" s="4"/>
      <c r="J14" s="5">
        <f>+J13/$E$34</f>
        <v>47.827170337884979</v>
      </c>
      <c r="K14" s="4"/>
    </row>
    <row r="15" spans="1:11">
      <c r="A15" s="4"/>
      <c r="D15" s="4"/>
      <c r="E15" s="4"/>
      <c r="F15" s="198">
        <f>+F14/$E$34</f>
        <v>119.98924660451482</v>
      </c>
      <c r="G15" s="4"/>
      <c r="J15" s="4"/>
      <c r="K15" s="4"/>
    </row>
    <row r="16" spans="1:11">
      <c r="A16" s="4"/>
      <c r="D16" s="4"/>
      <c r="E16" s="4"/>
      <c r="F16" s="4"/>
      <c r="G16" s="4"/>
      <c r="J16" s="4"/>
      <c r="K16" s="4"/>
    </row>
    <row r="17" spans="1:11">
      <c r="A17" s="4"/>
      <c r="D17" s="4"/>
      <c r="E17" s="4"/>
      <c r="F17" s="4"/>
      <c r="G17" s="4"/>
      <c r="J17" s="4"/>
      <c r="K17" s="4"/>
    </row>
    <row r="18" spans="1:11">
      <c r="A18" s="4"/>
      <c r="D18" s="4"/>
      <c r="E18" s="4"/>
      <c r="F18" s="4"/>
      <c r="G18" s="4"/>
      <c r="J18" s="4"/>
      <c r="K18" s="4"/>
    </row>
    <row r="19" spans="1:11">
      <c r="A19" s="4"/>
      <c r="D19" s="4"/>
      <c r="E19" s="4"/>
      <c r="F19" s="4"/>
      <c r="G19" s="4"/>
      <c r="J19" s="4"/>
      <c r="K19" s="4"/>
    </row>
    <row r="20" spans="1:11">
      <c r="A20" s="4"/>
      <c r="D20" s="4"/>
      <c r="E20" s="4"/>
      <c r="F20" s="4"/>
      <c r="G20" s="4"/>
      <c r="J20" s="4"/>
      <c r="K20" s="4"/>
    </row>
    <row r="21" spans="1:11">
      <c r="A21" s="4"/>
      <c r="D21" s="4"/>
      <c r="E21" s="8"/>
      <c r="F21" s="4"/>
      <c r="G21" s="4"/>
      <c r="J21" s="4"/>
      <c r="K21" s="4"/>
    </row>
    <row r="22" spans="1:11">
      <c r="A22" s="4"/>
      <c r="D22" s="4"/>
      <c r="E22" s="9"/>
      <c r="F22" s="4"/>
      <c r="G22" s="4"/>
      <c r="J22" s="4"/>
      <c r="K22" s="4"/>
    </row>
    <row r="23" spans="1:11">
      <c r="A23" s="4"/>
      <c r="D23" s="4"/>
      <c r="E23" s="4"/>
      <c r="F23" s="4"/>
      <c r="G23" s="4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4"/>
      <c r="F25" s="4"/>
      <c r="G25" s="4"/>
      <c r="H25" s="4"/>
      <c r="I25" s="4"/>
      <c r="J25" s="4"/>
      <c r="K25" s="199">
        <f>+C34</f>
        <v>30</v>
      </c>
    </row>
    <row r="26" spans="1:11">
      <c r="A26" s="4"/>
      <c r="B26" s="4"/>
      <c r="C26" s="4"/>
      <c r="D26" s="4"/>
      <c r="E26" s="199">
        <f>+C31</f>
        <v>2838</v>
      </c>
      <c r="F26" s="4"/>
      <c r="G26" s="4"/>
      <c r="H26" s="4"/>
      <c r="I26" s="4"/>
      <c r="J26" s="4"/>
      <c r="K26" s="198">
        <f>+K25/$E$34</f>
        <v>1.1811023622047245</v>
      </c>
    </row>
    <row r="27" spans="1:11" ht="15.75" thickBot="1">
      <c r="A27" s="4"/>
      <c r="B27" s="4"/>
      <c r="C27" s="4"/>
      <c r="D27" s="4"/>
      <c r="E27" s="198">
        <f>+E26/$E$34</f>
        <v>111.73228346456693</v>
      </c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23" t="str">
        <f>IF(C30&lt;=2800,"EN 4K or NEO","NEO-W")</f>
        <v>EN 4K or NEO</v>
      </c>
      <c r="F28" s="324"/>
      <c r="G28" s="13" t="s">
        <v>12</v>
      </c>
      <c r="H28" s="325">
        <f ca="1">NOW()</f>
        <v>43166.556318402778</v>
      </c>
      <c r="I28" s="325"/>
      <c r="J28" s="325"/>
      <c r="K28" s="326"/>
    </row>
    <row r="29" spans="1:11">
      <c r="A29" s="149" t="s">
        <v>13</v>
      </c>
      <c r="B29" s="15">
        <f t="shared" ref="B29:B34" si="0">+C29/$E$34</f>
        <v>110.55118110236221</v>
      </c>
      <c r="C29" s="89">
        <v>2808</v>
      </c>
      <c r="D29" s="150" t="s">
        <v>14</v>
      </c>
      <c r="E29" s="327">
        <v>2.37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15">
        <f t="shared" si="0"/>
        <v>46.646067975680253</v>
      </c>
      <c r="C30" s="18">
        <f>C29/E29</f>
        <v>1184.8101265822784</v>
      </c>
      <c r="D30" s="17" t="s">
        <v>17</v>
      </c>
      <c r="E30" s="316" t="s">
        <v>18</v>
      </c>
      <c r="F30" s="317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15">
        <f t="shared" si="0"/>
        <v>111.73228346456693</v>
      </c>
      <c r="C31" s="19">
        <f>+C29+(2*E33)</f>
        <v>2838</v>
      </c>
      <c r="D31" s="17" t="s">
        <v>21</v>
      </c>
      <c r="E31" s="20" t="s">
        <v>18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15">
        <f t="shared" si="0"/>
        <v>47.827170337884979</v>
      </c>
      <c r="C32" s="19">
        <f>+C30+(2*E33)</f>
        <v>1214.8101265822784</v>
      </c>
      <c r="D32" s="23" t="s">
        <v>24</v>
      </c>
      <c r="E32" s="24" t="s">
        <v>18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15">
        <f t="shared" si="0"/>
        <v>119.98924660451482</v>
      </c>
      <c r="C33" s="19">
        <f>SQRT((C29^2)+(C30^2))</f>
        <v>3047.7268637546763</v>
      </c>
      <c r="D33" s="23" t="s">
        <v>26</v>
      </c>
      <c r="E33" s="28">
        <v>15</v>
      </c>
      <c r="F33" s="25"/>
      <c r="G33" s="26"/>
      <c r="H33" s="26"/>
      <c r="I33" s="26"/>
      <c r="J33" s="26"/>
      <c r="K33" s="27"/>
    </row>
    <row r="34" spans="1:11" ht="15.95" customHeight="1" thickBot="1">
      <c r="A34" s="29" t="s">
        <v>27</v>
      </c>
      <c r="B34" s="30">
        <f t="shared" si="0"/>
        <v>1.1811023622047245</v>
      </c>
      <c r="C34" s="31">
        <v>30</v>
      </c>
      <c r="D34" s="32" t="s">
        <v>28</v>
      </c>
      <c r="E34" s="33">
        <v>25.4</v>
      </c>
      <c r="F34" s="34"/>
      <c r="G34" s="34"/>
      <c r="H34" s="34"/>
      <c r="I34" s="34"/>
      <c r="J34" s="34"/>
      <c r="K34" s="35" t="s">
        <v>29</v>
      </c>
    </row>
    <row r="35" spans="1:11" ht="15.95" customHeight="1">
      <c r="D35" s="4"/>
      <c r="E35" s="4"/>
    </row>
    <row r="36" spans="1:11" ht="15.95" customHeight="1">
      <c r="B36" s="123" t="s">
        <v>30</v>
      </c>
      <c r="C36" s="127"/>
      <c r="D36" s="132"/>
      <c r="E36" s="132"/>
      <c r="F36" s="127"/>
      <c r="G36" s="127"/>
      <c r="H36" s="127"/>
      <c r="I36" s="127"/>
      <c r="J36" s="127"/>
      <c r="K36" s="127"/>
    </row>
    <row r="37" spans="1:11" ht="6.95" customHeight="1">
      <c r="B37" s="125"/>
      <c r="C37" s="4"/>
      <c r="D37" s="26"/>
      <c r="E37" s="26"/>
      <c r="F37" s="4"/>
    </row>
    <row r="38" spans="1:11" ht="15.95" customHeight="1">
      <c r="B38" s="119"/>
      <c r="C38" s="133" t="s">
        <v>31</v>
      </c>
      <c r="D38" s="133" t="s">
        <v>9</v>
      </c>
      <c r="E38" s="133" t="s">
        <v>10</v>
      </c>
    </row>
    <row r="39" spans="1:11" ht="15.95" customHeight="1">
      <c r="B39" s="119" t="s">
        <v>32</v>
      </c>
      <c r="C39" s="122" t="s">
        <v>33</v>
      </c>
      <c r="D39" s="121">
        <v>130</v>
      </c>
      <c r="E39" s="121">
        <f>D39*25.4</f>
        <v>3302</v>
      </c>
      <c r="F39" s="4"/>
    </row>
    <row r="40" spans="1:11" ht="15.95" customHeight="1">
      <c r="B40" s="119" t="s">
        <v>34</v>
      </c>
      <c r="C40" s="122" t="s">
        <v>35</v>
      </c>
      <c r="D40" s="121">
        <v>130</v>
      </c>
      <c r="E40" s="121">
        <f>D40*25.4</f>
        <v>3302</v>
      </c>
      <c r="G40" s="4" t="s">
        <v>36</v>
      </c>
    </row>
    <row r="41" spans="1:11" ht="15.95" customHeight="1"/>
    <row r="42" spans="1:11" ht="15.95" customHeight="1">
      <c r="B42" s="118" t="s">
        <v>37</v>
      </c>
      <c r="C42" s="127"/>
      <c r="D42" s="127"/>
      <c r="E42" s="127"/>
      <c r="F42" s="127"/>
      <c r="G42" s="127"/>
      <c r="H42" s="127"/>
      <c r="I42" s="127"/>
      <c r="J42" s="127"/>
      <c r="K42" s="127"/>
    </row>
    <row r="43" spans="1:11" ht="15.95" customHeight="1">
      <c r="B43" s="36" t="s">
        <v>38</v>
      </c>
      <c r="C43" s="36"/>
      <c r="D43" s="36"/>
      <c r="E43" s="36"/>
      <c r="F43" s="36"/>
      <c r="G43" s="36"/>
      <c r="H43" s="36"/>
    </row>
    <row r="44" spans="1:11">
      <c r="B44" s="36" t="s">
        <v>39</v>
      </c>
      <c r="C44" s="36"/>
      <c r="D44" s="36"/>
      <c r="E44" s="36"/>
      <c r="F44" s="36"/>
      <c r="G44" s="36"/>
      <c r="H44" s="36"/>
    </row>
    <row r="45" spans="1:11">
      <c r="B45" s="36" t="s">
        <v>40</v>
      </c>
      <c r="C45" s="36"/>
      <c r="D45" s="36"/>
      <c r="E45" s="36"/>
      <c r="F45" s="36"/>
      <c r="G45" s="36"/>
      <c r="H45" s="36"/>
    </row>
    <row r="46" spans="1:11">
      <c r="B46" s="36" t="s">
        <v>41</v>
      </c>
      <c r="C46" s="36"/>
      <c r="D46" s="36"/>
      <c r="E46" s="36"/>
      <c r="F46" s="36"/>
      <c r="G46" s="36"/>
      <c r="H46" s="36"/>
    </row>
    <row r="47" spans="1:11" ht="9.9499999999999993" customHeight="1">
      <c r="B47" s="36"/>
      <c r="C47" s="36"/>
      <c r="D47" s="36"/>
      <c r="E47" s="36"/>
      <c r="F47" s="36"/>
      <c r="G47" s="36"/>
      <c r="H47" s="36"/>
    </row>
    <row r="48" spans="1:11">
      <c r="B48" s="118" t="s">
        <v>42</v>
      </c>
      <c r="C48" s="127"/>
      <c r="D48" s="127"/>
      <c r="E48" s="127"/>
      <c r="F48" s="127"/>
      <c r="G48" s="127"/>
      <c r="H48" s="127"/>
      <c r="I48" s="127"/>
      <c r="J48" s="127"/>
      <c r="K48" s="127"/>
    </row>
    <row r="49" spans="2:3">
      <c r="B49" s="2" t="s">
        <v>43</v>
      </c>
    </row>
    <row r="50" spans="2:3">
      <c r="B50" s="2" t="s">
        <v>44</v>
      </c>
    </row>
    <row r="51" spans="2:3" ht="8.1" customHeight="1"/>
    <row r="52" spans="2:3">
      <c r="B52" s="37">
        <f>+E26/2+70</f>
        <v>1489</v>
      </c>
      <c r="C52" s="2" t="s">
        <v>45</v>
      </c>
    </row>
    <row r="53" spans="2:3">
      <c r="B53" s="37">
        <v>250</v>
      </c>
      <c r="C53" s="2" t="s">
        <v>46</v>
      </c>
    </row>
    <row r="54" spans="2:3">
      <c r="B54" s="37">
        <v>200</v>
      </c>
      <c r="C54" s="2" t="s">
        <v>47</v>
      </c>
    </row>
    <row r="55" spans="2:3">
      <c r="B55" s="38"/>
    </row>
    <row r="56" spans="2:3">
      <c r="B56" s="38"/>
    </row>
    <row r="57" spans="2:3">
      <c r="B57" s="38"/>
    </row>
    <row r="58" spans="2:3">
      <c r="B58" s="38"/>
    </row>
    <row r="59" spans="2:3">
      <c r="B59" s="38"/>
    </row>
    <row r="60" spans="2:3">
      <c r="B60" s="38"/>
    </row>
    <row r="61" spans="2:3">
      <c r="B61" s="38"/>
    </row>
    <row r="62" spans="2:3">
      <c r="B62" s="38"/>
    </row>
    <row r="63" spans="2:3">
      <c r="B63" s="38"/>
    </row>
    <row r="64" spans="2:3">
      <c r="B64" s="38"/>
    </row>
    <row r="65" spans="2:2">
      <c r="B65" s="38"/>
    </row>
    <row r="66" spans="2:2">
      <c r="B66" s="38"/>
    </row>
    <row r="67" spans="2:2">
      <c r="B67" s="38"/>
    </row>
    <row r="68" spans="2:2">
      <c r="B68" s="38"/>
    </row>
    <row r="69" spans="2:2">
      <c r="B69" s="38"/>
    </row>
    <row r="70" spans="2:2">
      <c r="B70" s="38"/>
    </row>
    <row r="71" spans="2:2">
      <c r="B71" s="38"/>
    </row>
    <row r="72" spans="2:2">
      <c r="B72" s="38"/>
    </row>
    <row r="73" spans="2:2">
      <c r="B73" s="38"/>
    </row>
    <row r="74" spans="2:2">
      <c r="B74" s="38"/>
    </row>
    <row r="75" spans="2:2">
      <c r="B75" s="38"/>
    </row>
    <row r="76" spans="2:2">
      <c r="B76" s="38"/>
    </row>
    <row r="77" spans="2:2">
      <c r="B77" s="38"/>
    </row>
    <row r="78" spans="2:2">
      <c r="B78" s="38"/>
    </row>
    <row r="79" spans="2:2">
      <c r="B79" s="38"/>
    </row>
    <row r="80" spans="2:2">
      <c r="B80" s="38"/>
    </row>
    <row r="81" spans="2:2">
      <c r="B81" s="38"/>
    </row>
    <row r="82" spans="2:2">
      <c r="B82" s="38"/>
    </row>
    <row r="83" spans="2:2">
      <c r="B83" s="38"/>
    </row>
    <row r="84" spans="2:2">
      <c r="B84" s="38"/>
    </row>
    <row r="85" spans="2:2">
      <c r="B85" s="38"/>
    </row>
    <row r="86" spans="2:2">
      <c r="B86" s="38"/>
    </row>
    <row r="87" spans="2:2">
      <c r="B87" s="38"/>
    </row>
    <row r="88" spans="2:2">
      <c r="B88" s="38"/>
    </row>
    <row r="89" spans="2:2">
      <c r="B89" s="38"/>
    </row>
    <row r="90" spans="2:2">
      <c r="B90" s="38"/>
    </row>
    <row r="91" spans="2:2">
      <c r="B91" s="38"/>
    </row>
    <row r="92" spans="2:2">
      <c r="B92" s="38"/>
    </row>
    <row r="93" spans="2:2">
      <c r="B93" s="38"/>
    </row>
    <row r="94" spans="2:2">
      <c r="B94" s="38"/>
    </row>
    <row r="95" spans="2:2">
      <c r="B95" s="38"/>
    </row>
    <row r="96" spans="2:2">
      <c r="B96" s="38"/>
    </row>
    <row r="97" spans="2:2">
      <c r="B97" s="38"/>
    </row>
    <row r="98" spans="2:2">
      <c r="B98" s="38"/>
    </row>
    <row r="99" spans="2:2">
      <c r="B99" s="38"/>
    </row>
    <row r="100" spans="2:2">
      <c r="B100" s="38"/>
    </row>
    <row r="101" spans="2:2">
      <c r="B101" s="38"/>
    </row>
    <row r="102" spans="2:2">
      <c r="B102" s="38"/>
    </row>
    <row r="103" spans="2:2">
      <c r="B103" s="38"/>
    </row>
    <row r="104" spans="2:2">
      <c r="B104" s="38"/>
    </row>
    <row r="105" spans="2:2">
      <c r="B105" s="38"/>
    </row>
    <row r="106" spans="2:2">
      <c r="B106" s="38"/>
    </row>
    <row r="107" spans="2:2">
      <c r="B107" s="38"/>
    </row>
    <row r="108" spans="2:2">
      <c r="B108" s="38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 r:id="rId1"/>
  <headerFooter>
    <oddHeader>&amp;C&amp;"Calibri,Bold"&amp;14&amp;K000000Screen Excellence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5"/>
  <sheetViews>
    <sheetView showGridLines="0" topLeftCell="A43" workbookViewId="0">
      <selection activeCell="B60" sqref="B60"/>
    </sheetView>
  </sheetViews>
  <sheetFormatPr defaultColWidth="10.875" defaultRowHeight="15"/>
  <cols>
    <col min="1" max="1" width="10" style="39" customWidth="1"/>
    <col min="2" max="16384" width="10.875" style="39"/>
  </cols>
  <sheetData>
    <row r="1" spans="1:11" ht="24.95" customHeight="1">
      <c r="A1" s="347" t="s">
        <v>48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s="40" customFormat="1" ht="24" customHeight="1">
      <c r="A2" s="348" t="str">
        <f>+ROUND(B30,0)&amp;""""&amp;" "&amp;ROUND(E30,2)&amp;" Aspect Ratio"</f>
        <v>100" 1.78 Aspect Ratio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/>
      <c r="D4" s="41"/>
      <c r="E4" s="41"/>
      <c r="F4" s="41"/>
      <c r="G4" s="41"/>
      <c r="J4" s="41"/>
      <c r="K4" s="41"/>
    </row>
    <row r="5" spans="1:11">
      <c r="A5" s="41"/>
      <c r="D5" s="41"/>
      <c r="E5" s="199">
        <f>+C30</f>
        <v>2540</v>
      </c>
      <c r="F5" s="41"/>
      <c r="G5" s="41"/>
      <c r="J5" s="41"/>
      <c r="K5" s="41"/>
    </row>
    <row r="6" spans="1:11">
      <c r="A6" s="41"/>
      <c r="D6" s="41"/>
      <c r="E6" s="5">
        <f>+E5/$E$35</f>
        <v>100</v>
      </c>
      <c r="G6" s="41"/>
      <c r="J6" s="41"/>
      <c r="K6" s="41"/>
    </row>
    <row r="7" spans="1:11">
      <c r="A7" s="41"/>
      <c r="D7" s="41"/>
      <c r="E7" s="41"/>
      <c r="F7" s="41"/>
      <c r="G7" s="41"/>
      <c r="J7" s="41"/>
      <c r="K7" s="41"/>
    </row>
    <row r="8" spans="1:11">
      <c r="A8" s="41"/>
      <c r="D8" s="41"/>
      <c r="E8" s="41"/>
      <c r="F8" s="41"/>
      <c r="G8" s="41"/>
      <c r="J8" s="41"/>
      <c r="K8" s="41"/>
    </row>
    <row r="9" spans="1:11">
      <c r="A9" s="41"/>
      <c r="E9" s="41"/>
      <c r="F9" s="41"/>
      <c r="G9" s="41"/>
      <c r="J9" s="41"/>
      <c r="K9" s="41"/>
    </row>
    <row r="10" spans="1:11">
      <c r="A10" s="41"/>
      <c r="D10" s="41"/>
      <c r="E10" s="41"/>
      <c r="F10" s="41"/>
      <c r="G10" s="41"/>
      <c r="J10" s="41"/>
      <c r="K10" s="41"/>
    </row>
    <row r="11" spans="1:11">
      <c r="A11" s="41"/>
      <c r="D11" s="199">
        <f>+C31</f>
        <v>1426.9662921348315</v>
      </c>
      <c r="E11" s="41"/>
      <c r="G11" s="41"/>
      <c r="K11" s="41"/>
    </row>
    <row r="12" spans="1:11">
      <c r="A12" s="41"/>
      <c r="D12" s="198">
        <f>+D11/$E$35</f>
        <v>56.17977528089888</v>
      </c>
      <c r="E12" s="41"/>
      <c r="F12" s="42"/>
      <c r="G12" s="41"/>
      <c r="J12" s="41"/>
      <c r="K12" s="41"/>
    </row>
    <row r="13" spans="1:11">
      <c r="A13" s="41"/>
      <c r="D13" s="41"/>
      <c r="E13" s="41"/>
      <c r="F13" s="41"/>
      <c r="G13" s="41"/>
      <c r="J13" s="7">
        <f>+C33</f>
        <v>1502.9662921348315</v>
      </c>
      <c r="K13" s="41"/>
    </row>
    <row r="14" spans="1:11">
      <c r="A14" s="41"/>
      <c r="D14" s="41"/>
      <c r="E14" s="41"/>
      <c r="F14" s="199">
        <f>+C34</f>
        <v>2913.3885423830839</v>
      </c>
      <c r="G14" s="41"/>
      <c r="J14" s="43">
        <f>+J13/$E$35</f>
        <v>59.171901265150851</v>
      </c>
      <c r="K14" s="41"/>
    </row>
    <row r="15" spans="1:11">
      <c r="A15" s="41"/>
      <c r="D15" s="41"/>
      <c r="E15" s="41"/>
      <c r="F15" s="198">
        <f>+F14/$E$35</f>
        <v>114.70033631429465</v>
      </c>
      <c r="G15" s="41"/>
      <c r="J15" s="41"/>
      <c r="K15" s="41"/>
    </row>
    <row r="16" spans="1:11">
      <c r="A16" s="41"/>
      <c r="D16" s="41"/>
      <c r="E16" s="41"/>
      <c r="F16" s="41"/>
      <c r="G16" s="41"/>
      <c r="J16" s="41"/>
      <c r="K16" s="41"/>
    </row>
    <row r="17" spans="1:11">
      <c r="A17" s="41"/>
      <c r="D17" s="41"/>
      <c r="E17" s="41"/>
      <c r="F17" s="41"/>
      <c r="G17" s="41"/>
      <c r="J17" s="41"/>
      <c r="K17" s="41"/>
    </row>
    <row r="18" spans="1:11">
      <c r="A18" s="41"/>
      <c r="D18" s="41"/>
      <c r="E18" s="41"/>
      <c r="F18" s="41"/>
      <c r="G18" s="41"/>
      <c r="J18" s="41"/>
      <c r="K18" s="41"/>
    </row>
    <row r="19" spans="1:11">
      <c r="A19" s="41"/>
      <c r="D19" s="41"/>
      <c r="E19" s="41"/>
      <c r="F19" s="41"/>
      <c r="G19" s="41"/>
      <c r="J19" s="41"/>
      <c r="K19" s="41"/>
    </row>
    <row r="20" spans="1:11">
      <c r="A20" s="41"/>
      <c r="D20" s="41"/>
      <c r="E20" s="41"/>
      <c r="F20" s="41"/>
      <c r="G20" s="41"/>
      <c r="J20" s="41"/>
      <c r="K20" s="41"/>
    </row>
    <row r="21" spans="1:11">
      <c r="A21" s="41"/>
      <c r="D21" s="41"/>
      <c r="E21" s="44"/>
      <c r="F21" s="41"/>
      <c r="G21" s="41"/>
      <c r="J21" s="41"/>
      <c r="K21" s="41"/>
    </row>
    <row r="22" spans="1:11">
      <c r="A22" s="41"/>
      <c r="D22" s="41"/>
      <c r="F22" s="41"/>
      <c r="G22" s="41"/>
      <c r="J22" s="41"/>
      <c r="K22" s="41"/>
    </row>
    <row r="23" spans="1:11">
      <c r="A23" s="41"/>
      <c r="D23" s="41"/>
      <c r="E23" s="41"/>
      <c r="F23" s="41"/>
      <c r="G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199">
        <f>+C35</f>
        <v>38</v>
      </c>
    </row>
    <row r="26" spans="1:11">
      <c r="A26" s="41"/>
      <c r="B26" s="41"/>
      <c r="C26" s="41"/>
      <c r="D26" s="41"/>
      <c r="E26" s="199">
        <f>+C32</f>
        <v>2616</v>
      </c>
      <c r="F26" s="41"/>
      <c r="G26" s="41"/>
      <c r="H26" s="41"/>
      <c r="I26" s="41"/>
      <c r="J26" s="41"/>
      <c r="K26" s="198">
        <f>+K25/$E$35</f>
        <v>1.4960629921259843</v>
      </c>
    </row>
    <row r="27" spans="1:11">
      <c r="A27" s="41"/>
      <c r="B27" s="41"/>
      <c r="C27" s="41"/>
      <c r="D27" s="41"/>
      <c r="E27" s="5">
        <f>+E26/$E$35</f>
        <v>102.99212598425197</v>
      </c>
      <c r="F27" s="41"/>
      <c r="G27" s="41"/>
      <c r="H27" s="41"/>
      <c r="I27" s="41"/>
      <c r="J27" s="41"/>
    </row>
    <row r="28" spans="1:11" ht="15.75" thickBot="1">
      <c r="A28" s="41"/>
      <c r="B28" s="41"/>
      <c r="C28" s="41"/>
      <c r="D28" s="41"/>
      <c r="E28" s="5"/>
      <c r="F28" s="41"/>
      <c r="G28" s="41"/>
      <c r="H28" s="41"/>
      <c r="I28" s="41"/>
      <c r="J28" s="41"/>
    </row>
    <row r="29" spans="1:11">
      <c r="A29" s="45"/>
      <c r="B29" s="46" t="s">
        <v>9</v>
      </c>
      <c r="C29" s="47" t="s">
        <v>10</v>
      </c>
      <c r="D29" s="48" t="s">
        <v>11</v>
      </c>
      <c r="E29" s="323" t="s">
        <v>49</v>
      </c>
      <c r="F29" s="324"/>
      <c r="G29" s="48" t="s">
        <v>12</v>
      </c>
      <c r="H29" s="325">
        <f ca="1">NOW()</f>
        <v>43166.556318402778</v>
      </c>
      <c r="I29" s="325"/>
      <c r="J29" s="325"/>
      <c r="K29" s="326"/>
    </row>
    <row r="30" spans="1:11">
      <c r="A30" s="49" t="s">
        <v>13</v>
      </c>
      <c r="B30" s="50">
        <f t="shared" ref="B30:B35" si="0">+C30/$E$35</f>
        <v>100</v>
      </c>
      <c r="C30" s="16">
        <v>2540</v>
      </c>
      <c r="D30" s="51" t="s">
        <v>14</v>
      </c>
      <c r="E30" s="327">
        <v>1.78</v>
      </c>
      <c r="F30" s="328"/>
      <c r="G30" s="52" t="s">
        <v>15</v>
      </c>
      <c r="H30" s="349"/>
      <c r="I30" s="349"/>
      <c r="J30" s="349"/>
      <c r="K30" s="350"/>
    </row>
    <row r="31" spans="1:11">
      <c r="A31" s="49" t="s">
        <v>16</v>
      </c>
      <c r="B31" s="50">
        <f t="shared" si="0"/>
        <v>56.17977528089888</v>
      </c>
      <c r="C31" s="18">
        <f>C30/E30</f>
        <v>1426.9662921348315</v>
      </c>
      <c r="D31" s="51" t="s">
        <v>17</v>
      </c>
      <c r="E31" s="336" t="s">
        <v>18</v>
      </c>
      <c r="F31" s="337"/>
      <c r="G31" s="52" t="s">
        <v>19</v>
      </c>
      <c r="H31" s="338"/>
      <c r="I31" s="339"/>
      <c r="J31" s="339"/>
      <c r="K31" s="340"/>
    </row>
    <row r="32" spans="1:11">
      <c r="A32" s="49" t="s">
        <v>20</v>
      </c>
      <c r="B32" s="50">
        <f t="shared" si="0"/>
        <v>102.99212598425197</v>
      </c>
      <c r="C32" s="19">
        <f>+C30+(2*E34)</f>
        <v>2616</v>
      </c>
      <c r="D32" s="52" t="s">
        <v>21</v>
      </c>
      <c r="E32" s="55" t="s">
        <v>18</v>
      </c>
      <c r="F32" s="56" t="s">
        <v>22</v>
      </c>
      <c r="G32" s="41"/>
      <c r="H32" s="41"/>
      <c r="I32" s="41"/>
      <c r="J32" s="41"/>
      <c r="K32" s="57" t="s">
        <v>50</v>
      </c>
    </row>
    <row r="33" spans="1:11">
      <c r="A33" s="49" t="s">
        <v>23</v>
      </c>
      <c r="B33" s="50">
        <f t="shared" si="0"/>
        <v>59.171901265150851</v>
      </c>
      <c r="C33" s="19">
        <f>+C31+(2*E34)</f>
        <v>1502.9662921348315</v>
      </c>
      <c r="D33" s="58" t="s">
        <v>24</v>
      </c>
      <c r="E33" s="59" t="s">
        <v>18</v>
      </c>
      <c r="F33" s="341"/>
      <c r="G33" s="342"/>
      <c r="H33" s="342"/>
      <c r="I33" s="342"/>
      <c r="J33" s="342"/>
      <c r="K33" s="343"/>
    </row>
    <row r="34" spans="1:11">
      <c r="A34" s="49" t="s">
        <v>25</v>
      </c>
      <c r="B34" s="50">
        <f t="shared" si="0"/>
        <v>114.70033631429465</v>
      </c>
      <c r="C34" s="19">
        <f>SQRT((C30^2)+(C31^2))</f>
        <v>2913.3885423830839</v>
      </c>
      <c r="D34" s="58" t="s">
        <v>26</v>
      </c>
      <c r="E34" s="53">
        <v>38</v>
      </c>
      <c r="F34" s="341"/>
      <c r="G34" s="342"/>
      <c r="H34" s="342"/>
      <c r="I34" s="342"/>
      <c r="J34" s="342"/>
      <c r="K34" s="343"/>
    </row>
    <row r="35" spans="1:11" ht="15.75" thickBot="1">
      <c r="A35" s="60" t="s">
        <v>27</v>
      </c>
      <c r="B35" s="61">
        <f t="shared" si="0"/>
        <v>1.4960629921259843</v>
      </c>
      <c r="C35" s="75">
        <v>38</v>
      </c>
      <c r="D35" s="63" t="s">
        <v>28</v>
      </c>
      <c r="E35" s="64">
        <v>25.4</v>
      </c>
      <c r="F35" s="344"/>
      <c r="G35" s="345"/>
      <c r="H35" s="345"/>
      <c r="I35" s="345"/>
      <c r="J35" s="345"/>
      <c r="K35" s="346"/>
    </row>
    <row r="37" spans="1:11" s="2" customFormat="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s="2" customFormat="1" ht="6.95" customHeight="1">
      <c r="B38" s="125"/>
      <c r="C38" s="4"/>
      <c r="D38" s="26"/>
      <c r="E38" s="26"/>
      <c r="F38" s="4"/>
    </row>
    <row r="39" spans="1:11" s="2" customFormat="1" ht="15.95" customHeight="1">
      <c r="B39" s="187" t="s">
        <v>51</v>
      </c>
      <c r="C39" s="127"/>
      <c r="D39" s="331" t="s">
        <v>31</v>
      </c>
      <c r="E39" s="332"/>
      <c r="F39" s="195" t="s">
        <v>9</v>
      </c>
      <c r="G39" s="195" t="s">
        <v>10</v>
      </c>
    </row>
    <row r="40" spans="1:11" s="2" customFormat="1" ht="15.95" customHeight="1">
      <c r="B40" s="333" t="s">
        <v>52</v>
      </c>
      <c r="C40" s="333"/>
      <c r="D40" s="182" t="s">
        <v>32</v>
      </c>
      <c r="E40" s="176" t="s">
        <v>33</v>
      </c>
      <c r="F40" s="182">
        <v>106</v>
      </c>
      <c r="G40" s="185">
        <f t="shared" ref="G40:G45" si="1">F40*25.4</f>
        <v>2692.3999999999996</v>
      </c>
    </row>
    <row r="41" spans="1:11" s="2" customFormat="1" ht="15.95" customHeight="1">
      <c r="B41" s="334"/>
      <c r="C41" s="334"/>
      <c r="D41" s="183" t="s">
        <v>34</v>
      </c>
      <c r="E41" s="180" t="s">
        <v>53</v>
      </c>
      <c r="F41" s="183">
        <v>140</v>
      </c>
      <c r="G41" s="186">
        <f t="shared" si="1"/>
        <v>3556</v>
      </c>
    </row>
    <row r="42" spans="1:11" s="2" customFormat="1" ht="15.95" customHeight="1">
      <c r="B42" s="335" t="s">
        <v>136</v>
      </c>
      <c r="C42" s="335"/>
      <c r="D42" s="184" t="s">
        <v>32</v>
      </c>
      <c r="E42" s="181" t="s">
        <v>33</v>
      </c>
      <c r="F42" s="184">
        <v>130</v>
      </c>
      <c r="G42" s="184">
        <f t="shared" si="1"/>
        <v>3302</v>
      </c>
    </row>
    <row r="43" spans="1:11" s="2" customFormat="1" ht="15.95" customHeight="1">
      <c r="B43" s="334"/>
      <c r="C43" s="334"/>
      <c r="D43" s="183" t="s">
        <v>34</v>
      </c>
      <c r="E43" s="180" t="s">
        <v>53</v>
      </c>
      <c r="F43" s="183">
        <v>140</v>
      </c>
      <c r="G43" s="186">
        <f t="shared" si="1"/>
        <v>3556</v>
      </c>
    </row>
    <row r="44" spans="1:11" s="2" customFormat="1" ht="15.95" customHeight="1">
      <c r="B44" s="335" t="s">
        <v>163</v>
      </c>
      <c r="C44" s="335"/>
      <c r="D44" s="184" t="s">
        <v>32</v>
      </c>
      <c r="E44" s="181" t="s">
        <v>33</v>
      </c>
      <c r="F44" s="184">
        <v>130</v>
      </c>
      <c r="G44" s="184">
        <f t="shared" si="1"/>
        <v>3302</v>
      </c>
    </row>
    <row r="45" spans="1:11" s="2" customFormat="1" ht="15.95" customHeight="1">
      <c r="B45" s="334"/>
      <c r="C45" s="334"/>
      <c r="D45" s="183" t="s">
        <v>34</v>
      </c>
      <c r="E45" s="180" t="s">
        <v>53</v>
      </c>
      <c r="F45" s="183">
        <v>140</v>
      </c>
      <c r="G45" s="186">
        <f t="shared" si="1"/>
        <v>3556</v>
      </c>
      <c r="H45" s="4" t="s">
        <v>36</v>
      </c>
    </row>
    <row r="46" spans="1:11" s="2" customFormat="1" ht="15.95" customHeight="1">
      <c r="B46" s="4"/>
      <c r="D46" s="175"/>
      <c r="E46" s="176"/>
      <c r="F46" s="121"/>
      <c r="G46" s="121"/>
      <c r="H46" s="4"/>
    </row>
    <row r="47" spans="1:11" s="2" customFormat="1" ht="15.95" customHeight="1">
      <c r="B47" s="123" t="s">
        <v>30</v>
      </c>
      <c r="C47" s="127"/>
      <c r="D47" s="132"/>
      <c r="E47" s="132"/>
      <c r="F47" s="127"/>
      <c r="G47" s="127"/>
      <c r="H47" s="127"/>
      <c r="I47" s="127"/>
      <c r="J47" s="127"/>
      <c r="K47" s="127"/>
    </row>
    <row r="48" spans="1:11" s="2" customFormat="1" ht="6.95" customHeight="1">
      <c r="B48" s="125"/>
      <c r="C48" s="4"/>
      <c r="D48" s="26"/>
      <c r="E48" s="26"/>
      <c r="F48" s="4"/>
    </row>
    <row r="49" spans="2:11" s="2" customFormat="1" ht="15.95" customHeight="1">
      <c r="B49" s="119"/>
      <c r="C49" s="133" t="s">
        <v>31</v>
      </c>
      <c r="D49" s="133" t="s">
        <v>9</v>
      </c>
      <c r="E49" s="133" t="s">
        <v>10</v>
      </c>
    </row>
    <row r="50" spans="2:11" s="2" customFormat="1" ht="15.95" customHeight="1">
      <c r="B50" s="119" t="s">
        <v>32</v>
      </c>
      <c r="C50" s="122" t="s">
        <v>33</v>
      </c>
      <c r="D50" s="121">
        <v>106</v>
      </c>
      <c r="E50" s="121">
        <f>D50*25.4</f>
        <v>2692.3999999999996</v>
      </c>
      <c r="F50" s="4"/>
      <c r="G50" s="2" t="s">
        <v>55</v>
      </c>
    </row>
    <row r="51" spans="2:11" s="2" customFormat="1" ht="15.95" customHeight="1">
      <c r="B51" s="119" t="s">
        <v>32</v>
      </c>
      <c r="C51" s="122" t="s">
        <v>33</v>
      </c>
      <c r="D51" s="121">
        <v>130</v>
      </c>
      <c r="E51" s="121">
        <f>D51*25.4</f>
        <v>3302</v>
      </c>
      <c r="F51" s="4"/>
      <c r="G51" s="2" t="s">
        <v>56</v>
      </c>
    </row>
    <row r="52" spans="2:11" s="2" customFormat="1" ht="15.95" customHeight="1">
      <c r="B52" s="119" t="s">
        <v>34</v>
      </c>
      <c r="C52" s="122" t="s">
        <v>35</v>
      </c>
      <c r="D52" s="121">
        <v>140</v>
      </c>
      <c r="E52" s="121">
        <f>D52*25.4</f>
        <v>3556</v>
      </c>
      <c r="G52" s="2" t="s">
        <v>57</v>
      </c>
    </row>
    <row r="53" spans="2:11">
      <c r="G53" s="4"/>
    </row>
    <row r="54" spans="2:11">
      <c r="B54" s="143" t="s">
        <v>37</v>
      </c>
      <c r="C54" s="144"/>
      <c r="D54" s="144"/>
      <c r="E54" s="144"/>
      <c r="F54" s="144"/>
      <c r="G54" s="144"/>
      <c r="H54" s="144"/>
      <c r="I54" s="144"/>
      <c r="J54" s="144"/>
      <c r="K54" s="144"/>
    </row>
    <row r="55" spans="2:11">
      <c r="B55" s="65" t="s">
        <v>58</v>
      </c>
      <c r="C55" s="65"/>
      <c r="D55" s="65"/>
      <c r="E55" s="65"/>
      <c r="F55" s="65"/>
      <c r="G55" s="65"/>
      <c r="H55" s="65"/>
    </row>
    <row r="56" spans="2:11">
      <c r="B56" s="65" t="s">
        <v>59</v>
      </c>
      <c r="C56" s="65"/>
      <c r="D56" s="65"/>
      <c r="E56" s="65"/>
      <c r="F56" s="65"/>
      <c r="G56" s="65"/>
      <c r="H56" s="65"/>
    </row>
    <row r="57" spans="2:11">
      <c r="B57" s="65"/>
      <c r="C57" s="65"/>
      <c r="D57" s="65"/>
      <c r="E57" s="65"/>
      <c r="F57" s="65"/>
      <c r="G57" s="65"/>
      <c r="H57" s="65"/>
    </row>
    <row r="58" spans="2:11">
      <c r="B58" s="143" t="s">
        <v>42</v>
      </c>
      <c r="C58" s="144"/>
      <c r="D58" s="144"/>
      <c r="E58" s="144"/>
      <c r="F58" s="144"/>
      <c r="G58" s="144"/>
      <c r="H58" s="144"/>
      <c r="I58" s="144"/>
      <c r="J58" s="144"/>
      <c r="K58" s="144"/>
    </row>
    <row r="59" spans="2:11">
      <c r="B59" s="39" t="s">
        <v>165</v>
      </c>
    </row>
    <row r="60" spans="2:11">
      <c r="B60" s="39" t="s">
        <v>44</v>
      </c>
    </row>
    <row r="62" spans="2:11">
      <c r="B62" s="66">
        <f>(+E26/2)+350</f>
        <v>1658</v>
      </c>
      <c r="C62" s="39" t="s">
        <v>45</v>
      </c>
    </row>
    <row r="63" spans="2:11">
      <c r="B63" s="66">
        <v>350</v>
      </c>
      <c r="C63" s="39" t="s">
        <v>46</v>
      </c>
    </row>
    <row r="64" spans="2:11">
      <c r="B64" s="66">
        <v>250</v>
      </c>
      <c r="C64" s="39" t="s">
        <v>27</v>
      </c>
    </row>
    <row r="65" spans="2:4">
      <c r="B65" s="67"/>
      <c r="D65" s="68"/>
    </row>
  </sheetData>
  <mergeCells count="13">
    <mergeCell ref="H31:K31"/>
    <mergeCell ref="F33:K35"/>
    <mergeCell ref="A1:K1"/>
    <mergeCell ref="A2:K2"/>
    <mergeCell ref="E29:F29"/>
    <mergeCell ref="H29:K29"/>
    <mergeCell ref="E30:F30"/>
    <mergeCell ref="H30:K30"/>
    <mergeCell ref="D39:E39"/>
    <mergeCell ref="B40:C41"/>
    <mergeCell ref="B44:C45"/>
    <mergeCell ref="E31:F31"/>
    <mergeCell ref="B42:C43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5"/>
  <sheetViews>
    <sheetView showGridLines="0" topLeftCell="A29" workbookViewId="0">
      <selection activeCell="O58" sqref="O58"/>
    </sheetView>
  </sheetViews>
  <sheetFormatPr defaultColWidth="10.875" defaultRowHeight="15"/>
  <cols>
    <col min="1" max="1" width="10" style="39" customWidth="1"/>
    <col min="2" max="16384" width="10.875" style="39"/>
  </cols>
  <sheetData>
    <row r="1" spans="1:11" ht="24.95" customHeight="1">
      <c r="A1" s="347" t="s">
        <v>151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s="40" customFormat="1" ht="24" customHeight="1">
      <c r="A2" s="348" t="str">
        <f>+ROUND(B30,0)&amp;""""&amp;" "&amp;ROUND(E30,2)&amp;" Aspect Ratio"</f>
        <v>100" 1.78 Aspect Ratio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/>
      <c r="D4" s="41"/>
      <c r="E4" s="41"/>
      <c r="F4" s="41"/>
      <c r="G4" s="41"/>
      <c r="J4" s="41"/>
      <c r="K4" s="41"/>
    </row>
    <row r="5" spans="1:11">
      <c r="A5" s="41"/>
      <c r="D5" s="41"/>
      <c r="E5" s="305">
        <f>+C30</f>
        <v>2540</v>
      </c>
      <c r="F5" s="41"/>
      <c r="G5" s="41"/>
      <c r="J5" s="41"/>
      <c r="K5" s="41"/>
    </row>
    <row r="6" spans="1:11">
      <c r="A6" s="41"/>
      <c r="D6" s="41"/>
      <c r="E6" s="5">
        <f>+E5/$E$35</f>
        <v>100</v>
      </c>
      <c r="G6" s="41"/>
      <c r="J6" s="41"/>
      <c r="K6" s="41"/>
    </row>
    <row r="7" spans="1:11">
      <c r="A7" s="41"/>
      <c r="D7" s="41"/>
      <c r="E7" s="41"/>
      <c r="F7" s="41"/>
      <c r="G7" s="41"/>
      <c r="J7" s="41"/>
      <c r="K7" s="41"/>
    </row>
    <row r="8" spans="1:11">
      <c r="A8" s="41"/>
      <c r="D8" s="41"/>
      <c r="E8" s="41"/>
      <c r="F8" s="41"/>
      <c r="G8" s="41"/>
      <c r="J8" s="41"/>
      <c r="K8" s="41"/>
    </row>
    <row r="9" spans="1:11">
      <c r="A9" s="41"/>
      <c r="E9" s="41"/>
      <c r="F9" s="41"/>
      <c r="G9" s="41"/>
      <c r="J9" s="41"/>
      <c r="K9" s="41"/>
    </row>
    <row r="10" spans="1:11">
      <c r="A10" s="41"/>
      <c r="D10" s="41"/>
      <c r="E10" s="41"/>
      <c r="F10" s="41"/>
      <c r="G10" s="41"/>
      <c r="J10" s="41"/>
      <c r="K10" s="41"/>
    </row>
    <row r="11" spans="1:11">
      <c r="A11" s="41"/>
      <c r="D11" s="305">
        <f>+C31</f>
        <v>1426.9662921348315</v>
      </c>
      <c r="E11" s="41"/>
      <c r="G11" s="41"/>
      <c r="K11" s="41"/>
    </row>
    <row r="12" spans="1:11">
      <c r="A12" s="41"/>
      <c r="D12" s="304">
        <f>+D11/$E$35</f>
        <v>56.17977528089888</v>
      </c>
      <c r="E12" s="41"/>
      <c r="F12" s="42"/>
      <c r="G12" s="41"/>
      <c r="J12" s="41"/>
      <c r="K12" s="41"/>
    </row>
    <row r="13" spans="1:11">
      <c r="A13" s="41"/>
      <c r="D13" s="41"/>
      <c r="E13" s="41"/>
      <c r="F13" s="41"/>
      <c r="G13" s="41"/>
      <c r="J13" s="7">
        <f>+C33</f>
        <v>1506.9662921348315</v>
      </c>
      <c r="K13" s="41"/>
    </row>
    <row r="14" spans="1:11">
      <c r="A14" s="41"/>
      <c r="D14" s="41"/>
      <c r="E14" s="41"/>
      <c r="F14" s="305">
        <f>+C34</f>
        <v>2913.3885423830839</v>
      </c>
      <c r="G14" s="41"/>
      <c r="J14" s="43">
        <f>+J13/$E$35</f>
        <v>59.32938158011148</v>
      </c>
      <c r="K14" s="41"/>
    </row>
    <row r="15" spans="1:11">
      <c r="A15" s="41"/>
      <c r="D15" s="41"/>
      <c r="E15" s="41"/>
      <c r="F15" s="304">
        <f>+F14/$E$35</f>
        <v>114.70033631429465</v>
      </c>
      <c r="G15" s="41"/>
      <c r="J15" s="41"/>
      <c r="K15" s="41"/>
    </row>
    <row r="16" spans="1:11">
      <c r="A16" s="41"/>
      <c r="D16" s="41"/>
      <c r="E16" s="41"/>
      <c r="F16" s="41"/>
      <c r="G16" s="41"/>
      <c r="J16" s="41"/>
      <c r="K16" s="41"/>
    </row>
    <row r="17" spans="1:11">
      <c r="A17" s="41"/>
      <c r="D17" s="41"/>
      <c r="E17" s="41"/>
      <c r="F17" s="41"/>
      <c r="G17" s="41"/>
      <c r="J17" s="41"/>
      <c r="K17" s="41"/>
    </row>
    <row r="18" spans="1:11">
      <c r="A18" s="41"/>
      <c r="D18" s="41"/>
      <c r="E18" s="41"/>
      <c r="F18" s="41"/>
      <c r="G18" s="41"/>
      <c r="J18" s="41"/>
      <c r="K18" s="41"/>
    </row>
    <row r="19" spans="1:11">
      <c r="A19" s="41"/>
      <c r="D19" s="41"/>
      <c r="E19" s="41"/>
      <c r="F19" s="41"/>
      <c r="G19" s="41"/>
      <c r="J19" s="41"/>
      <c r="K19" s="41"/>
    </row>
    <row r="20" spans="1:11">
      <c r="A20" s="41"/>
      <c r="D20" s="41"/>
      <c r="E20" s="41"/>
      <c r="F20" s="41"/>
      <c r="G20" s="41"/>
      <c r="J20" s="41"/>
      <c r="K20" s="41"/>
    </row>
    <row r="21" spans="1:11">
      <c r="A21" s="41"/>
      <c r="D21" s="41"/>
      <c r="E21" s="44"/>
      <c r="F21" s="41"/>
      <c r="G21" s="41"/>
      <c r="J21" s="41"/>
      <c r="K21" s="41"/>
    </row>
    <row r="22" spans="1:11">
      <c r="A22" s="41"/>
      <c r="D22" s="41"/>
      <c r="F22" s="41"/>
      <c r="G22" s="41"/>
      <c r="J22" s="41"/>
      <c r="K22" s="41"/>
    </row>
    <row r="23" spans="1:11">
      <c r="A23" s="41"/>
      <c r="D23" s="41"/>
      <c r="E23" s="41"/>
      <c r="F23" s="41"/>
      <c r="G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305">
        <f>+C35</f>
        <v>40</v>
      </c>
    </row>
    <row r="26" spans="1:11">
      <c r="A26" s="41"/>
      <c r="B26" s="41"/>
      <c r="C26" s="41"/>
      <c r="D26" s="41"/>
      <c r="E26" s="305">
        <f>+C32</f>
        <v>2620</v>
      </c>
      <c r="F26" s="41"/>
      <c r="G26" s="41"/>
      <c r="H26" s="41"/>
      <c r="I26" s="41"/>
      <c r="J26" s="41"/>
      <c r="K26" s="304">
        <f>+K25/$E$35</f>
        <v>1.5748031496062993</v>
      </c>
    </row>
    <row r="27" spans="1:11">
      <c r="A27" s="41"/>
      <c r="B27" s="41"/>
      <c r="C27" s="41"/>
      <c r="D27" s="41"/>
      <c r="E27" s="5">
        <f>+E26/$E$35</f>
        <v>103.14960629921261</v>
      </c>
      <c r="F27" s="41"/>
      <c r="G27" s="41"/>
      <c r="H27" s="41"/>
      <c r="I27" s="41"/>
      <c r="J27" s="41"/>
    </row>
    <row r="28" spans="1:11" ht="15.75" thickBot="1">
      <c r="A28" s="41"/>
      <c r="B28" s="41"/>
      <c r="C28" s="41"/>
      <c r="D28" s="41"/>
      <c r="E28" s="5"/>
      <c r="F28" s="41"/>
      <c r="G28" s="41"/>
      <c r="H28" s="41"/>
      <c r="I28" s="41"/>
      <c r="J28" s="41"/>
    </row>
    <row r="29" spans="1:11">
      <c r="A29" s="45"/>
      <c r="B29" s="46" t="s">
        <v>9</v>
      </c>
      <c r="C29" s="47" t="s">
        <v>10</v>
      </c>
      <c r="D29" s="48" t="s">
        <v>11</v>
      </c>
      <c r="E29" s="323" t="s">
        <v>49</v>
      </c>
      <c r="F29" s="324"/>
      <c r="G29" s="48" t="s">
        <v>12</v>
      </c>
      <c r="H29" s="325">
        <f ca="1">NOW()</f>
        <v>43166.556318287039</v>
      </c>
      <c r="I29" s="325"/>
      <c r="J29" s="325"/>
      <c r="K29" s="326"/>
    </row>
    <row r="30" spans="1:11">
      <c r="A30" s="49" t="s">
        <v>13</v>
      </c>
      <c r="B30" s="50">
        <f t="shared" ref="B30:B35" si="0">+C30/$E$35</f>
        <v>100</v>
      </c>
      <c r="C30" s="16">
        <v>2540</v>
      </c>
      <c r="D30" s="51" t="s">
        <v>14</v>
      </c>
      <c r="E30" s="327">
        <v>1.78</v>
      </c>
      <c r="F30" s="328"/>
      <c r="G30" s="52" t="s">
        <v>15</v>
      </c>
      <c r="H30" s="349"/>
      <c r="I30" s="349"/>
      <c r="J30" s="349"/>
      <c r="K30" s="350"/>
    </row>
    <row r="31" spans="1:11">
      <c r="A31" s="49" t="s">
        <v>16</v>
      </c>
      <c r="B31" s="50">
        <f t="shared" si="0"/>
        <v>56.17977528089888</v>
      </c>
      <c r="C31" s="18">
        <f>C30/E30</f>
        <v>1426.9662921348315</v>
      </c>
      <c r="D31" s="51" t="s">
        <v>17</v>
      </c>
      <c r="E31" s="336" t="s">
        <v>18</v>
      </c>
      <c r="F31" s="337"/>
      <c r="G31" s="52" t="s">
        <v>19</v>
      </c>
      <c r="H31" s="338"/>
      <c r="I31" s="339"/>
      <c r="J31" s="339"/>
      <c r="K31" s="340"/>
    </row>
    <row r="32" spans="1:11">
      <c r="A32" s="49" t="s">
        <v>20</v>
      </c>
      <c r="B32" s="50">
        <f t="shared" si="0"/>
        <v>103.14960629921261</v>
      </c>
      <c r="C32" s="19">
        <f>+C30+(2*E34)</f>
        <v>2620</v>
      </c>
      <c r="D32" s="52" t="s">
        <v>21</v>
      </c>
      <c r="E32" s="55" t="s">
        <v>18</v>
      </c>
      <c r="F32" s="56" t="s">
        <v>22</v>
      </c>
      <c r="G32" s="41"/>
      <c r="H32" s="41"/>
      <c r="I32" s="41"/>
      <c r="J32" s="41"/>
      <c r="K32" s="57" t="s">
        <v>50</v>
      </c>
    </row>
    <row r="33" spans="1:11">
      <c r="A33" s="49" t="s">
        <v>23</v>
      </c>
      <c r="B33" s="50">
        <f t="shared" si="0"/>
        <v>59.32938158011148</v>
      </c>
      <c r="C33" s="19">
        <f>+C31+(2*E34)</f>
        <v>1506.9662921348315</v>
      </c>
      <c r="D33" s="58" t="s">
        <v>24</v>
      </c>
      <c r="E33" s="59" t="s">
        <v>18</v>
      </c>
      <c r="F33" s="341"/>
      <c r="G33" s="342"/>
      <c r="H33" s="342"/>
      <c r="I33" s="342"/>
      <c r="J33" s="342"/>
      <c r="K33" s="343"/>
    </row>
    <row r="34" spans="1:11">
      <c r="A34" s="49" t="s">
        <v>25</v>
      </c>
      <c r="B34" s="50">
        <f t="shared" si="0"/>
        <v>114.70033631429465</v>
      </c>
      <c r="C34" s="19">
        <f>SQRT((C30^2)+(C31^2))</f>
        <v>2913.3885423830839</v>
      </c>
      <c r="D34" s="58" t="s">
        <v>26</v>
      </c>
      <c r="E34" s="53">
        <v>40</v>
      </c>
      <c r="F34" s="341"/>
      <c r="G34" s="342"/>
      <c r="H34" s="342"/>
      <c r="I34" s="342"/>
      <c r="J34" s="342"/>
      <c r="K34" s="343"/>
    </row>
    <row r="35" spans="1:11" ht="15.75" thickBot="1">
      <c r="A35" s="60" t="s">
        <v>27</v>
      </c>
      <c r="B35" s="61">
        <f t="shared" si="0"/>
        <v>1.5748031496062993</v>
      </c>
      <c r="C35" s="75">
        <v>40</v>
      </c>
      <c r="D35" s="63" t="s">
        <v>28</v>
      </c>
      <c r="E35" s="64">
        <v>25.4</v>
      </c>
      <c r="F35" s="344"/>
      <c r="G35" s="345"/>
      <c r="H35" s="345"/>
      <c r="I35" s="345"/>
      <c r="J35" s="345"/>
      <c r="K35" s="346"/>
    </row>
    <row r="37" spans="1:11" s="2" customFormat="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s="2" customFormat="1" ht="6.95" customHeight="1">
      <c r="B38" s="125"/>
      <c r="C38" s="4"/>
      <c r="D38" s="26"/>
      <c r="E38" s="26"/>
      <c r="F38" s="4"/>
    </row>
    <row r="39" spans="1:11" s="2" customFormat="1" ht="15.95" customHeight="1">
      <c r="B39" s="187" t="s">
        <v>51</v>
      </c>
      <c r="C39" s="127"/>
      <c r="D39" s="331" t="s">
        <v>31</v>
      </c>
      <c r="E39" s="332"/>
      <c r="F39" s="302" t="s">
        <v>9</v>
      </c>
      <c r="G39" s="302" t="s">
        <v>10</v>
      </c>
    </row>
    <row r="40" spans="1:11" s="2" customFormat="1" ht="15.95" customHeight="1">
      <c r="B40" s="333" t="s">
        <v>52</v>
      </c>
      <c r="C40" s="333"/>
      <c r="D40" s="182" t="s">
        <v>32</v>
      </c>
      <c r="E40" s="176" t="s">
        <v>33</v>
      </c>
      <c r="F40" s="182">
        <v>106</v>
      </c>
      <c r="G40" s="185">
        <f t="shared" ref="G40:G45" si="1">F40*25.4</f>
        <v>2692.3999999999996</v>
      </c>
    </row>
    <row r="41" spans="1:11" s="2" customFormat="1" ht="15.95" customHeight="1">
      <c r="B41" s="334"/>
      <c r="C41" s="334"/>
      <c r="D41" s="183" t="s">
        <v>34</v>
      </c>
      <c r="E41" s="180" t="s">
        <v>53</v>
      </c>
      <c r="F41" s="183">
        <v>140</v>
      </c>
      <c r="G41" s="186">
        <f t="shared" si="1"/>
        <v>3556</v>
      </c>
    </row>
    <row r="42" spans="1:11" s="2" customFormat="1" ht="15.95" customHeight="1">
      <c r="B42" s="335" t="s">
        <v>136</v>
      </c>
      <c r="C42" s="335"/>
      <c r="D42" s="184" t="s">
        <v>32</v>
      </c>
      <c r="E42" s="181" t="s">
        <v>33</v>
      </c>
      <c r="F42" s="184">
        <v>130</v>
      </c>
      <c r="G42" s="184">
        <f t="shared" si="1"/>
        <v>3302</v>
      </c>
    </row>
    <row r="43" spans="1:11" s="2" customFormat="1" ht="15.95" customHeight="1">
      <c r="B43" s="334"/>
      <c r="C43" s="334"/>
      <c r="D43" s="183" t="s">
        <v>34</v>
      </c>
      <c r="E43" s="180" t="s">
        <v>53</v>
      </c>
      <c r="F43" s="183">
        <v>140</v>
      </c>
      <c r="G43" s="186">
        <f t="shared" si="1"/>
        <v>3556</v>
      </c>
    </row>
    <row r="44" spans="1:11" s="2" customFormat="1" ht="15.95" customHeight="1">
      <c r="B44" s="335" t="s">
        <v>140</v>
      </c>
      <c r="C44" s="335"/>
      <c r="D44" s="184" t="s">
        <v>32</v>
      </c>
      <c r="E44" s="181" t="s">
        <v>33</v>
      </c>
      <c r="F44" s="184">
        <v>130</v>
      </c>
      <c r="G44" s="184">
        <f t="shared" si="1"/>
        <v>3302</v>
      </c>
    </row>
    <row r="45" spans="1:11" s="2" customFormat="1" ht="15.95" customHeight="1">
      <c r="B45" s="334"/>
      <c r="C45" s="334"/>
      <c r="D45" s="183" t="s">
        <v>34</v>
      </c>
      <c r="E45" s="180" t="s">
        <v>53</v>
      </c>
      <c r="F45" s="183">
        <v>140</v>
      </c>
      <c r="G45" s="186">
        <f t="shared" si="1"/>
        <v>3556</v>
      </c>
      <c r="H45" s="4" t="s">
        <v>36</v>
      </c>
    </row>
    <row r="46" spans="1:11" s="2" customFormat="1" ht="15.95" customHeight="1">
      <c r="B46" s="4"/>
      <c r="D46" s="175"/>
      <c r="E46" s="176"/>
      <c r="F46" s="121"/>
      <c r="G46" s="121"/>
      <c r="H46" s="4"/>
    </row>
    <row r="47" spans="1:11" s="2" customFormat="1" ht="15.95" customHeight="1">
      <c r="B47" s="123" t="s">
        <v>30</v>
      </c>
      <c r="C47" s="127"/>
      <c r="D47" s="132"/>
      <c r="E47" s="132"/>
      <c r="F47" s="127"/>
      <c r="G47" s="127"/>
      <c r="H47" s="127"/>
      <c r="I47" s="127"/>
      <c r="J47" s="127"/>
      <c r="K47" s="127"/>
    </row>
    <row r="48" spans="1:11" s="2" customFormat="1" ht="6.95" customHeight="1">
      <c r="B48" s="125"/>
      <c r="C48" s="4"/>
      <c r="D48" s="26"/>
      <c r="E48" s="26"/>
      <c r="F48" s="4"/>
    </row>
    <row r="49" spans="2:11" s="2" customFormat="1" ht="15.95" customHeight="1">
      <c r="B49" s="119"/>
      <c r="C49" s="133" t="s">
        <v>31</v>
      </c>
      <c r="D49" s="133" t="s">
        <v>9</v>
      </c>
      <c r="E49" s="133" t="s">
        <v>10</v>
      </c>
    </row>
    <row r="50" spans="2:11" s="2" customFormat="1" ht="15.95" customHeight="1">
      <c r="B50" s="119" t="s">
        <v>32</v>
      </c>
      <c r="C50" s="122" t="s">
        <v>33</v>
      </c>
      <c r="D50" s="121">
        <v>106</v>
      </c>
      <c r="E50" s="121">
        <f>D50*25.4</f>
        <v>2692.3999999999996</v>
      </c>
      <c r="F50" s="4"/>
      <c r="G50" s="2" t="s">
        <v>55</v>
      </c>
    </row>
    <row r="51" spans="2:11" s="2" customFormat="1" ht="15.95" customHeight="1">
      <c r="B51" s="119" t="s">
        <v>32</v>
      </c>
      <c r="C51" s="122" t="s">
        <v>33</v>
      </c>
      <c r="D51" s="121">
        <v>130</v>
      </c>
      <c r="E51" s="121">
        <f>D51*25.4</f>
        <v>3302</v>
      </c>
      <c r="F51" s="4"/>
      <c r="G51" s="2" t="s">
        <v>56</v>
      </c>
    </row>
    <row r="52" spans="2:11" s="2" customFormat="1" ht="15.95" customHeight="1">
      <c r="B52" s="119" t="s">
        <v>34</v>
      </c>
      <c r="C52" s="122" t="s">
        <v>35</v>
      </c>
      <c r="D52" s="121">
        <v>140</v>
      </c>
      <c r="E52" s="121">
        <f>D52*25.4</f>
        <v>3556</v>
      </c>
      <c r="G52" s="2" t="s">
        <v>57</v>
      </c>
    </row>
    <row r="53" spans="2:11">
      <c r="G53" s="4"/>
    </row>
    <row r="54" spans="2:11">
      <c r="B54" s="143" t="s">
        <v>37</v>
      </c>
      <c r="C54" s="144"/>
      <c r="D54" s="144"/>
      <c r="E54" s="144"/>
      <c r="F54" s="144"/>
      <c r="G54" s="144"/>
      <c r="H54" s="144"/>
      <c r="I54" s="144"/>
      <c r="J54" s="144"/>
      <c r="K54" s="144"/>
    </row>
    <row r="55" spans="2:11">
      <c r="B55" s="65" t="s">
        <v>58</v>
      </c>
      <c r="C55" s="65"/>
      <c r="D55" s="65"/>
      <c r="E55" s="65"/>
      <c r="F55" s="65"/>
      <c r="G55" s="65"/>
      <c r="H55" s="65"/>
    </row>
    <row r="56" spans="2:11">
      <c r="B56" s="65" t="s">
        <v>59</v>
      </c>
      <c r="C56" s="65"/>
      <c r="D56" s="65"/>
      <c r="E56" s="65"/>
      <c r="F56" s="65"/>
      <c r="G56" s="65"/>
      <c r="H56" s="65"/>
    </row>
    <row r="57" spans="2:11">
      <c r="B57" s="65"/>
      <c r="C57" s="65"/>
      <c r="D57" s="65"/>
      <c r="E57" s="65"/>
      <c r="F57" s="65"/>
      <c r="G57" s="65"/>
      <c r="H57" s="65"/>
    </row>
    <row r="58" spans="2:11">
      <c r="B58" s="143" t="s">
        <v>42</v>
      </c>
      <c r="C58" s="144"/>
      <c r="D58" s="144"/>
      <c r="E58" s="144"/>
      <c r="F58" s="144"/>
      <c r="G58" s="144"/>
      <c r="H58" s="144"/>
      <c r="I58" s="144"/>
      <c r="J58" s="144"/>
      <c r="K58" s="144"/>
    </row>
    <row r="59" spans="2:11">
      <c r="B59" s="39" t="s">
        <v>164</v>
      </c>
    </row>
    <row r="60" spans="2:11">
      <c r="B60" s="39" t="s">
        <v>44</v>
      </c>
    </row>
    <row r="62" spans="2:11">
      <c r="B62" s="66">
        <f>(+E26/2)+350</f>
        <v>1660</v>
      </c>
      <c r="C62" s="39" t="s">
        <v>45</v>
      </c>
    </row>
    <row r="63" spans="2:11">
      <c r="B63" s="66">
        <v>350</v>
      </c>
      <c r="C63" s="39" t="s">
        <v>46</v>
      </c>
    </row>
    <row r="64" spans="2:11">
      <c r="B64" s="66">
        <v>250</v>
      </c>
      <c r="C64" s="39" t="s">
        <v>27</v>
      </c>
    </row>
    <row r="65" spans="2:4">
      <c r="B65" s="67"/>
      <c r="D65" s="68"/>
    </row>
  </sheetData>
  <mergeCells count="13">
    <mergeCell ref="B44:C45"/>
    <mergeCell ref="E31:F31"/>
    <mergeCell ref="H31:K31"/>
    <mergeCell ref="F33:K35"/>
    <mergeCell ref="D39:E39"/>
    <mergeCell ref="B40:C41"/>
    <mergeCell ref="B42:C43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6"/>
  <sheetViews>
    <sheetView showGridLines="0" topLeftCell="A3" workbookViewId="0">
      <selection activeCell="E30" sqref="E30:F30"/>
    </sheetView>
  </sheetViews>
  <sheetFormatPr defaultColWidth="10.875" defaultRowHeight="15"/>
  <cols>
    <col min="1" max="1" width="10" style="39" customWidth="1"/>
    <col min="2" max="16384" width="10.875" style="39"/>
  </cols>
  <sheetData>
    <row r="1" spans="1:11" ht="24.95" customHeight="1">
      <c r="A1" s="347" t="s">
        <v>61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s="40" customFormat="1" ht="24" customHeight="1">
      <c r="A2" s="348" t="str">
        <f>+ROUND(B30,0)&amp;""""&amp;" "&amp;ROUND(E30,2)&amp;" Aspect Ratio"</f>
        <v>100" 1.78 Aspect Ratio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/>
      <c r="D4" s="41"/>
      <c r="E4" s="41"/>
      <c r="F4" s="41"/>
      <c r="G4" s="41"/>
      <c r="J4" s="41"/>
      <c r="K4" s="41"/>
    </row>
    <row r="5" spans="1:11">
      <c r="A5" s="41"/>
      <c r="D5" s="41"/>
      <c r="E5" s="199">
        <f>+C30</f>
        <v>2540</v>
      </c>
      <c r="F5" s="41"/>
      <c r="G5" s="41"/>
      <c r="J5" s="41"/>
      <c r="K5" s="41"/>
    </row>
    <row r="6" spans="1:11">
      <c r="A6" s="41"/>
      <c r="D6" s="41"/>
      <c r="E6" s="5">
        <f>+E5/$E$35</f>
        <v>100</v>
      </c>
      <c r="G6" s="41"/>
      <c r="J6" s="41"/>
      <c r="K6" s="41"/>
    </row>
    <row r="7" spans="1:11">
      <c r="A7" s="41"/>
      <c r="D7" s="41"/>
      <c r="E7" s="41"/>
      <c r="F7" s="41"/>
      <c r="G7" s="41"/>
      <c r="J7" s="41"/>
      <c r="K7" s="41"/>
    </row>
    <row r="8" spans="1:11">
      <c r="A8" s="41"/>
      <c r="D8" s="41"/>
      <c r="E8" s="41"/>
      <c r="F8" s="41"/>
      <c r="G8" s="41"/>
      <c r="J8" s="41"/>
      <c r="K8" s="41"/>
    </row>
    <row r="9" spans="1:11">
      <c r="A9" s="41"/>
      <c r="E9" s="41"/>
      <c r="F9" s="41"/>
      <c r="G9" s="41"/>
      <c r="J9" s="41"/>
      <c r="K9" s="41"/>
    </row>
    <row r="10" spans="1:11">
      <c r="A10" s="41"/>
      <c r="D10" s="41"/>
      <c r="E10" s="41"/>
      <c r="F10" s="41"/>
      <c r="G10" s="41"/>
      <c r="J10" s="41"/>
      <c r="K10" s="41"/>
    </row>
    <row r="11" spans="1:11">
      <c r="A11" s="41"/>
      <c r="D11" s="199">
        <f>+C31</f>
        <v>1426.9662921348315</v>
      </c>
      <c r="E11" s="41"/>
      <c r="G11" s="41"/>
      <c r="K11" s="41"/>
    </row>
    <row r="12" spans="1:11">
      <c r="A12" s="41"/>
      <c r="D12" s="198">
        <f>+D11/$E$35</f>
        <v>56.17977528089888</v>
      </c>
      <c r="E12" s="41"/>
      <c r="F12" s="42"/>
      <c r="G12" s="41"/>
      <c r="J12" s="41"/>
      <c r="K12" s="41"/>
    </row>
    <row r="13" spans="1:11">
      <c r="A13" s="41"/>
      <c r="D13" s="41"/>
      <c r="E13" s="41"/>
      <c r="F13" s="41"/>
      <c r="G13" s="41"/>
      <c r="J13" s="7">
        <f>+C33</f>
        <v>1614.9662921348315</v>
      </c>
      <c r="K13" s="41"/>
    </row>
    <row r="14" spans="1:11">
      <c r="A14" s="41"/>
      <c r="D14" s="41"/>
      <c r="E14" s="41"/>
      <c r="F14" s="199">
        <f>+C34</f>
        <v>2913.3885423830839</v>
      </c>
      <c r="G14" s="41"/>
      <c r="J14" s="43">
        <f>+J13/$E$35</f>
        <v>63.581350084048488</v>
      </c>
      <c r="K14" s="41"/>
    </row>
    <row r="15" spans="1:11">
      <c r="A15" s="41"/>
      <c r="D15" s="41"/>
      <c r="E15" s="41"/>
      <c r="F15" s="198">
        <f>+F14/$E$35</f>
        <v>114.70033631429465</v>
      </c>
      <c r="G15" s="41"/>
      <c r="J15" s="41"/>
      <c r="K15" s="41"/>
    </row>
    <row r="16" spans="1:11">
      <c r="A16" s="41"/>
      <c r="D16" s="41"/>
      <c r="E16" s="41"/>
      <c r="F16" s="41"/>
      <c r="G16" s="41"/>
      <c r="J16" s="41"/>
      <c r="K16" s="41"/>
    </row>
    <row r="17" spans="1:11">
      <c r="A17" s="41"/>
      <c r="D17" s="41"/>
      <c r="E17" s="41"/>
      <c r="F17" s="41"/>
      <c r="G17" s="41"/>
      <c r="J17" s="41"/>
      <c r="K17" s="41"/>
    </row>
    <row r="18" spans="1:11">
      <c r="A18" s="41"/>
      <c r="D18" s="41"/>
      <c r="E18" s="41"/>
      <c r="F18" s="41"/>
      <c r="G18" s="41"/>
      <c r="J18" s="41"/>
      <c r="K18" s="41"/>
    </row>
    <row r="19" spans="1:11">
      <c r="A19" s="41"/>
      <c r="D19" s="41"/>
      <c r="E19" s="41"/>
      <c r="F19" s="41"/>
      <c r="G19" s="41"/>
      <c r="J19" s="41"/>
      <c r="K19" s="41"/>
    </row>
    <row r="20" spans="1:11">
      <c r="A20" s="41"/>
      <c r="D20" s="41"/>
      <c r="E20" s="41"/>
      <c r="F20" s="41"/>
      <c r="G20" s="41"/>
      <c r="J20" s="41"/>
      <c r="K20" s="41"/>
    </row>
    <row r="21" spans="1:11">
      <c r="A21" s="41"/>
      <c r="D21" s="41"/>
      <c r="E21" s="44"/>
      <c r="F21" s="41"/>
      <c r="G21" s="41"/>
      <c r="J21" s="41"/>
      <c r="K21" s="41"/>
    </row>
    <row r="22" spans="1:11">
      <c r="A22" s="41"/>
      <c r="D22" s="41"/>
      <c r="F22" s="41"/>
      <c r="G22" s="41"/>
      <c r="J22" s="41"/>
      <c r="K22" s="41"/>
    </row>
    <row r="23" spans="1:11">
      <c r="A23" s="41"/>
      <c r="D23" s="41"/>
      <c r="E23" s="41"/>
      <c r="F23" s="41"/>
      <c r="G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199">
        <f>+C35</f>
        <v>60</v>
      </c>
    </row>
    <row r="26" spans="1:11">
      <c r="A26" s="41"/>
      <c r="B26" s="41"/>
      <c r="C26" s="41"/>
      <c r="D26" s="41"/>
      <c r="E26" s="199">
        <f>+C32</f>
        <v>2728</v>
      </c>
      <c r="F26" s="41"/>
      <c r="G26" s="41"/>
      <c r="H26" s="41"/>
      <c r="I26" s="41"/>
      <c r="J26" s="41"/>
      <c r="K26" s="198">
        <f>+K25/$E$35</f>
        <v>2.3622047244094491</v>
      </c>
    </row>
    <row r="27" spans="1:11">
      <c r="A27" s="41"/>
      <c r="B27" s="41"/>
      <c r="C27" s="41"/>
      <c r="D27" s="41"/>
      <c r="E27" s="5">
        <f>+E26/$E$35</f>
        <v>107.40157480314961</v>
      </c>
      <c r="F27" s="41"/>
      <c r="G27" s="41"/>
      <c r="H27" s="41"/>
      <c r="I27" s="41"/>
      <c r="J27" s="41"/>
    </row>
    <row r="28" spans="1:11" ht="15.75" thickBot="1">
      <c r="A28" s="41"/>
      <c r="B28" s="41"/>
      <c r="C28" s="41"/>
      <c r="D28" s="41"/>
      <c r="E28" s="5"/>
      <c r="F28" s="41"/>
      <c r="G28" s="41"/>
      <c r="H28" s="41"/>
      <c r="I28" s="41"/>
      <c r="J28" s="41"/>
    </row>
    <row r="29" spans="1:11">
      <c r="A29" s="45"/>
      <c r="B29" s="46" t="s">
        <v>9</v>
      </c>
      <c r="C29" s="47" t="s">
        <v>10</v>
      </c>
      <c r="D29" s="48" t="s">
        <v>11</v>
      </c>
      <c r="E29" s="323" t="str">
        <f>IF(C31&lt;=2800,"EN 4K or NEO","NEO-W")</f>
        <v>EN 4K or NEO</v>
      </c>
      <c r="F29" s="324"/>
      <c r="G29" s="48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51" t="s">
        <v>13</v>
      </c>
      <c r="B30" s="50">
        <f t="shared" ref="B30:B35" si="0">+C30/$E$35</f>
        <v>100</v>
      </c>
      <c r="C30" s="16">
        <v>2540</v>
      </c>
      <c r="D30" s="152" t="s">
        <v>14</v>
      </c>
      <c r="E30" s="327">
        <v>1.78</v>
      </c>
      <c r="F30" s="328"/>
      <c r="G30" s="52" t="s">
        <v>15</v>
      </c>
      <c r="H30" s="349"/>
      <c r="I30" s="349"/>
      <c r="J30" s="349"/>
      <c r="K30" s="350"/>
    </row>
    <row r="31" spans="1:11">
      <c r="A31" s="49" t="s">
        <v>16</v>
      </c>
      <c r="B31" s="50">
        <f t="shared" si="0"/>
        <v>56.17977528089888</v>
      </c>
      <c r="C31" s="18">
        <f>C30/E30</f>
        <v>1426.9662921348315</v>
      </c>
      <c r="D31" s="69" t="s">
        <v>17</v>
      </c>
      <c r="E31" s="336" t="s">
        <v>18</v>
      </c>
      <c r="F31" s="337"/>
      <c r="G31" s="52" t="s">
        <v>19</v>
      </c>
      <c r="H31" s="338"/>
      <c r="I31" s="339"/>
      <c r="J31" s="339"/>
      <c r="K31" s="340"/>
    </row>
    <row r="32" spans="1:11">
      <c r="A32" s="49" t="s">
        <v>20</v>
      </c>
      <c r="B32" s="50">
        <f t="shared" si="0"/>
        <v>107.40157480314961</v>
      </c>
      <c r="C32" s="19">
        <f>+C30+(2*E34)</f>
        <v>2728</v>
      </c>
      <c r="D32" s="69" t="s">
        <v>21</v>
      </c>
      <c r="E32" s="55" t="s">
        <v>18</v>
      </c>
      <c r="F32" s="56" t="s">
        <v>22</v>
      </c>
      <c r="G32" s="41"/>
      <c r="H32" s="41"/>
      <c r="I32" s="41"/>
      <c r="J32" s="41"/>
      <c r="K32" s="57" t="s">
        <v>50</v>
      </c>
    </row>
    <row r="33" spans="1:11">
      <c r="A33" s="49" t="s">
        <v>23</v>
      </c>
      <c r="B33" s="50">
        <f t="shared" si="0"/>
        <v>63.581350084048488</v>
      </c>
      <c r="C33" s="19">
        <f>+C31+(2*E34)</f>
        <v>1614.9662921348315</v>
      </c>
      <c r="D33" s="70" t="s">
        <v>24</v>
      </c>
      <c r="E33" s="59" t="s">
        <v>18</v>
      </c>
      <c r="F33" s="341"/>
      <c r="G33" s="342"/>
      <c r="H33" s="342"/>
      <c r="I33" s="342"/>
      <c r="J33" s="342"/>
      <c r="K33" s="343"/>
    </row>
    <row r="34" spans="1:11">
      <c r="A34" s="49" t="s">
        <v>25</v>
      </c>
      <c r="B34" s="50">
        <f t="shared" si="0"/>
        <v>114.70033631429465</v>
      </c>
      <c r="C34" s="19">
        <f>SQRT((C30^2)+(C31^2))</f>
        <v>2913.3885423830839</v>
      </c>
      <c r="D34" s="70" t="s">
        <v>26</v>
      </c>
      <c r="E34" s="53">
        <v>94</v>
      </c>
      <c r="F34" s="341"/>
      <c r="G34" s="342"/>
      <c r="H34" s="342"/>
      <c r="I34" s="342"/>
      <c r="J34" s="342"/>
      <c r="K34" s="343"/>
    </row>
    <row r="35" spans="1:11" ht="15.75" thickBot="1">
      <c r="A35" s="60" t="s">
        <v>27</v>
      </c>
      <c r="B35" s="61">
        <f t="shared" si="0"/>
        <v>2.3622047244094491</v>
      </c>
      <c r="C35" s="75">
        <v>60</v>
      </c>
      <c r="D35" s="71" t="s">
        <v>28</v>
      </c>
      <c r="E35" s="64">
        <v>25.4</v>
      </c>
      <c r="F35" s="344"/>
      <c r="G35" s="345"/>
      <c r="H35" s="345"/>
      <c r="I35" s="345"/>
      <c r="J35" s="345"/>
      <c r="K35" s="346"/>
    </row>
    <row r="37" spans="1:11" s="2" customFormat="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s="2" customFormat="1" ht="6.95" customHeight="1">
      <c r="B38" s="125"/>
      <c r="C38" s="4"/>
      <c r="D38" s="26"/>
      <c r="E38" s="26"/>
      <c r="F38" s="4"/>
    </row>
    <row r="39" spans="1:11" s="2" customFormat="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s="2" customFormat="1" ht="15.95" customHeight="1">
      <c r="B40" s="119" t="s">
        <v>32</v>
      </c>
      <c r="C40" s="122" t="s">
        <v>33</v>
      </c>
      <c r="D40" s="121">
        <v>210</v>
      </c>
      <c r="E40" s="121">
        <f>D40*25.4</f>
        <v>5334</v>
      </c>
      <c r="F40" s="4"/>
    </row>
    <row r="41" spans="1:11" s="2" customFormat="1" ht="15.95" customHeight="1">
      <c r="B41" s="119" t="s">
        <v>34</v>
      </c>
      <c r="C41" s="122" t="s">
        <v>35</v>
      </c>
      <c r="D41" s="121">
        <v>280</v>
      </c>
      <c r="E41" s="121">
        <f>D41*25.4</f>
        <v>7112</v>
      </c>
      <c r="G41" s="4" t="s">
        <v>36</v>
      </c>
    </row>
    <row r="43" spans="1:11">
      <c r="B43" s="143" t="s">
        <v>37</v>
      </c>
      <c r="C43" s="144"/>
      <c r="D43" s="144"/>
      <c r="E43" s="144"/>
      <c r="F43" s="144"/>
      <c r="G43" s="144"/>
      <c r="H43" s="144"/>
      <c r="I43" s="144"/>
      <c r="J43" s="144"/>
      <c r="K43" s="144"/>
    </row>
    <row r="44" spans="1:11">
      <c r="B44" s="65" t="s">
        <v>62</v>
      </c>
      <c r="C44" s="65"/>
      <c r="D44" s="65"/>
      <c r="E44" s="65"/>
      <c r="F44" s="65"/>
      <c r="G44" s="65"/>
      <c r="H44" s="65"/>
    </row>
    <row r="45" spans="1:11">
      <c r="B45" s="65" t="s">
        <v>59</v>
      </c>
      <c r="C45" s="65"/>
      <c r="D45" s="65"/>
      <c r="E45" s="65"/>
      <c r="F45" s="65"/>
      <c r="G45" s="65"/>
      <c r="H45" s="65"/>
    </row>
    <row r="46" spans="1:11">
      <c r="B46" s="65" t="s">
        <v>63</v>
      </c>
      <c r="C46" s="65"/>
      <c r="D46" s="65"/>
      <c r="E46" s="65"/>
      <c r="F46" s="65"/>
      <c r="G46" s="65"/>
      <c r="H46" s="65"/>
    </row>
    <row r="47" spans="1:11">
      <c r="B47" s="65" t="s">
        <v>64</v>
      </c>
      <c r="C47" s="65"/>
      <c r="D47" s="65"/>
      <c r="E47" s="65"/>
      <c r="F47" s="65"/>
      <c r="G47" s="65"/>
      <c r="H47" s="65"/>
    </row>
    <row r="48" spans="1:11">
      <c r="B48" s="65"/>
      <c r="C48" s="65"/>
      <c r="D48" s="65"/>
      <c r="E48" s="65"/>
      <c r="F48" s="65"/>
      <c r="G48" s="65"/>
      <c r="H48" s="65"/>
    </row>
    <row r="49" spans="2:11">
      <c r="B49" s="143" t="s">
        <v>42</v>
      </c>
      <c r="C49" s="144"/>
      <c r="D49" s="144"/>
      <c r="E49" s="144"/>
      <c r="F49" s="144"/>
      <c r="G49" s="144"/>
      <c r="H49" s="144"/>
      <c r="I49" s="144"/>
      <c r="J49" s="144"/>
      <c r="K49" s="144"/>
    </row>
    <row r="50" spans="2:11">
      <c r="B50" s="39" t="s">
        <v>60</v>
      </c>
    </row>
    <row r="51" spans="2:11">
      <c r="B51" s="39" t="s">
        <v>44</v>
      </c>
    </row>
    <row r="53" spans="2:11">
      <c r="B53" s="66">
        <f>(+E26/2)+350</f>
        <v>1714</v>
      </c>
      <c r="C53" s="39" t="s">
        <v>45</v>
      </c>
    </row>
    <row r="54" spans="2:11">
      <c r="B54" s="66">
        <v>350</v>
      </c>
      <c r="C54" s="39" t="s">
        <v>46</v>
      </c>
    </row>
    <row r="55" spans="2:11">
      <c r="B55" s="66">
        <v>250</v>
      </c>
      <c r="C55" s="39" t="s">
        <v>27</v>
      </c>
    </row>
    <row r="56" spans="2:11">
      <c r="B56" s="67"/>
      <c r="D56" s="68"/>
    </row>
  </sheetData>
  <mergeCells count="9">
    <mergeCell ref="F33:K35"/>
    <mergeCell ref="E31:F31"/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55"/>
  <sheetViews>
    <sheetView showGridLines="0" workbookViewId="0">
      <selection activeCell="N44" sqref="N44"/>
    </sheetView>
  </sheetViews>
  <sheetFormatPr defaultColWidth="10.875" defaultRowHeight="15"/>
  <cols>
    <col min="1" max="1" width="10" style="39" customWidth="1"/>
    <col min="2" max="16384" width="10.875" style="39"/>
  </cols>
  <sheetData>
    <row r="1" spans="1:11" ht="24.95" customHeight="1">
      <c r="A1" s="347" t="s">
        <v>150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1" s="40" customFormat="1" ht="24" customHeight="1">
      <c r="A2" s="348" t="str">
        <f>+ROUND(B30,0)&amp;""""&amp;" "&amp;ROUND(E30,2)&amp;" Aspect Ratio"</f>
        <v>100" 1.78 Aspect Ratio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/>
      <c r="D4" s="41"/>
      <c r="E4" s="41"/>
      <c r="F4" s="41"/>
      <c r="G4" s="41"/>
      <c r="J4" s="41"/>
      <c r="K4" s="41"/>
    </row>
    <row r="5" spans="1:11">
      <c r="A5" s="41"/>
      <c r="D5" s="41"/>
      <c r="E5" s="305">
        <f>+C30</f>
        <v>2540</v>
      </c>
      <c r="F5" s="41"/>
      <c r="G5" s="41"/>
      <c r="J5" s="41"/>
      <c r="K5" s="41"/>
    </row>
    <row r="6" spans="1:11">
      <c r="A6" s="41"/>
      <c r="D6" s="41"/>
      <c r="E6" s="5">
        <f>+E5/$E$35</f>
        <v>100</v>
      </c>
      <c r="G6" s="41"/>
      <c r="J6" s="41"/>
      <c r="K6" s="41"/>
    </row>
    <row r="7" spans="1:11">
      <c r="A7" s="41"/>
      <c r="D7" s="41"/>
      <c r="E7" s="41"/>
      <c r="F7" s="41"/>
      <c r="G7" s="41"/>
      <c r="J7" s="41"/>
      <c r="K7" s="41"/>
    </row>
    <row r="8" spans="1:11">
      <c r="A8" s="41"/>
      <c r="D8" s="41"/>
      <c r="E8" s="41"/>
      <c r="F8" s="41"/>
      <c r="G8" s="41"/>
      <c r="J8" s="41"/>
      <c r="K8" s="41"/>
    </row>
    <row r="9" spans="1:11">
      <c r="A9" s="41"/>
      <c r="E9" s="41"/>
      <c r="F9" s="41"/>
      <c r="G9" s="41"/>
      <c r="J9" s="41"/>
      <c r="K9" s="41"/>
    </row>
    <row r="10" spans="1:11">
      <c r="A10" s="41"/>
      <c r="D10" s="41"/>
      <c r="E10" s="41"/>
      <c r="F10" s="41"/>
      <c r="G10" s="41"/>
      <c r="J10" s="41"/>
      <c r="K10" s="41"/>
    </row>
    <row r="11" spans="1:11">
      <c r="A11" s="41"/>
      <c r="D11" s="305">
        <f>+C31</f>
        <v>1426.9662921348315</v>
      </c>
      <c r="E11" s="41"/>
      <c r="G11" s="41"/>
      <c r="K11" s="41"/>
    </row>
    <row r="12" spans="1:11">
      <c r="A12" s="41"/>
      <c r="D12" s="304">
        <f>+D11/$E$35</f>
        <v>56.17977528089888</v>
      </c>
      <c r="E12" s="41"/>
      <c r="F12" s="42"/>
      <c r="G12" s="41"/>
      <c r="J12" s="41"/>
      <c r="K12" s="41"/>
    </row>
    <row r="13" spans="1:11">
      <c r="A13" s="41"/>
      <c r="D13" s="41"/>
      <c r="E13" s="41"/>
      <c r="F13" s="41"/>
      <c r="G13" s="41"/>
      <c r="J13" s="7">
        <f>+C33</f>
        <v>1614.9662921348315</v>
      </c>
      <c r="K13" s="41"/>
    </row>
    <row r="14" spans="1:11">
      <c r="A14" s="41"/>
      <c r="D14" s="41"/>
      <c r="E14" s="41"/>
      <c r="F14" s="305">
        <f>+C34</f>
        <v>2913.3885423830839</v>
      </c>
      <c r="G14" s="41"/>
      <c r="J14" s="43">
        <f>+J13/$E$35</f>
        <v>63.581350084048488</v>
      </c>
      <c r="K14" s="41"/>
    </row>
    <row r="15" spans="1:11">
      <c r="A15" s="41"/>
      <c r="D15" s="41"/>
      <c r="E15" s="41"/>
      <c r="F15" s="304">
        <f>+F14/$E$35</f>
        <v>114.70033631429465</v>
      </c>
      <c r="G15" s="41"/>
      <c r="J15" s="41"/>
      <c r="K15" s="41"/>
    </row>
    <row r="16" spans="1:11">
      <c r="A16" s="41"/>
      <c r="D16" s="41"/>
      <c r="E16" s="41"/>
      <c r="F16" s="41"/>
      <c r="G16" s="41"/>
      <c r="J16" s="41"/>
      <c r="K16" s="41"/>
    </row>
    <row r="17" spans="1:11">
      <c r="A17" s="41"/>
      <c r="D17" s="41"/>
      <c r="E17" s="41"/>
      <c r="F17" s="41"/>
      <c r="G17" s="41"/>
      <c r="J17" s="41"/>
      <c r="K17" s="41"/>
    </row>
    <row r="18" spans="1:11">
      <c r="A18" s="41"/>
      <c r="D18" s="41"/>
      <c r="E18" s="41"/>
      <c r="F18" s="41"/>
      <c r="G18" s="41"/>
      <c r="J18" s="41"/>
      <c r="K18" s="41"/>
    </row>
    <row r="19" spans="1:11">
      <c r="A19" s="41"/>
      <c r="D19" s="41"/>
      <c r="E19" s="41"/>
      <c r="F19" s="41"/>
      <c r="G19" s="41"/>
      <c r="J19" s="41"/>
      <c r="K19" s="41"/>
    </row>
    <row r="20" spans="1:11">
      <c r="A20" s="41"/>
      <c r="D20" s="41"/>
      <c r="E20" s="41"/>
      <c r="F20" s="41"/>
      <c r="G20" s="41"/>
      <c r="J20" s="41"/>
      <c r="K20" s="41"/>
    </row>
    <row r="21" spans="1:11">
      <c r="A21" s="41"/>
      <c r="D21" s="41"/>
      <c r="E21" s="44"/>
      <c r="F21" s="41"/>
      <c r="G21" s="41"/>
      <c r="J21" s="41"/>
      <c r="K21" s="41"/>
    </row>
    <row r="22" spans="1:11">
      <c r="A22" s="41"/>
      <c r="D22" s="41"/>
      <c r="F22" s="41"/>
      <c r="G22" s="41"/>
      <c r="J22" s="41"/>
      <c r="K22" s="41"/>
    </row>
    <row r="23" spans="1:11">
      <c r="A23" s="41"/>
      <c r="D23" s="41"/>
      <c r="E23" s="41"/>
      <c r="F23" s="41"/>
      <c r="G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305">
        <f>+C35</f>
        <v>60</v>
      </c>
    </row>
    <row r="26" spans="1:11">
      <c r="A26" s="41"/>
      <c r="B26" s="41"/>
      <c r="C26" s="41"/>
      <c r="D26" s="41"/>
      <c r="E26" s="305">
        <f>+C32</f>
        <v>2728</v>
      </c>
      <c r="F26" s="41"/>
      <c r="G26" s="41"/>
      <c r="H26" s="41"/>
      <c r="I26" s="41"/>
      <c r="J26" s="41"/>
      <c r="K26" s="304">
        <f>+K25/$E$35</f>
        <v>2.3622047244094491</v>
      </c>
    </row>
    <row r="27" spans="1:11">
      <c r="A27" s="41"/>
      <c r="B27" s="41"/>
      <c r="C27" s="41"/>
      <c r="D27" s="41"/>
      <c r="E27" s="5">
        <f>+E26/$E$35</f>
        <v>107.40157480314961</v>
      </c>
      <c r="F27" s="41"/>
      <c r="G27" s="41"/>
      <c r="H27" s="41"/>
      <c r="I27" s="41"/>
      <c r="J27" s="41"/>
    </row>
    <row r="28" spans="1:11" ht="15.75" thickBot="1">
      <c r="A28" s="41"/>
      <c r="B28" s="41"/>
      <c r="C28" s="41"/>
      <c r="D28" s="41"/>
      <c r="E28" s="5"/>
      <c r="F28" s="41"/>
      <c r="G28" s="41"/>
      <c r="H28" s="41"/>
      <c r="I28" s="41"/>
      <c r="J28" s="41"/>
    </row>
    <row r="29" spans="1:11">
      <c r="A29" s="45"/>
      <c r="B29" s="46" t="s">
        <v>9</v>
      </c>
      <c r="C29" s="47" t="s">
        <v>10</v>
      </c>
      <c r="D29" s="48" t="s">
        <v>11</v>
      </c>
      <c r="E29" s="323" t="str">
        <f>IF(C31&lt;=2800,"EN 4K or NEO","NEO-W")</f>
        <v>EN 4K or NEO</v>
      </c>
      <c r="F29" s="324"/>
      <c r="G29" s="48" t="s">
        <v>12</v>
      </c>
      <c r="H29" s="325">
        <f ca="1">NOW()</f>
        <v>43166.556318287039</v>
      </c>
      <c r="I29" s="325"/>
      <c r="J29" s="325"/>
      <c r="K29" s="326"/>
    </row>
    <row r="30" spans="1:11">
      <c r="A30" s="151" t="s">
        <v>13</v>
      </c>
      <c r="B30" s="50">
        <f t="shared" ref="B30:B35" si="0">+C30/$E$35</f>
        <v>100</v>
      </c>
      <c r="C30" s="16">
        <v>2540</v>
      </c>
      <c r="D30" s="152" t="s">
        <v>14</v>
      </c>
      <c r="E30" s="327">
        <v>1.78</v>
      </c>
      <c r="F30" s="328"/>
      <c r="G30" s="52" t="s">
        <v>15</v>
      </c>
      <c r="H30" s="349"/>
      <c r="I30" s="349"/>
      <c r="J30" s="349"/>
      <c r="K30" s="350"/>
    </row>
    <row r="31" spans="1:11">
      <c r="A31" s="49" t="s">
        <v>16</v>
      </c>
      <c r="B31" s="50">
        <f t="shared" si="0"/>
        <v>56.17977528089888</v>
      </c>
      <c r="C31" s="18">
        <f>C30/E30</f>
        <v>1426.9662921348315</v>
      </c>
      <c r="D31" s="69" t="s">
        <v>17</v>
      </c>
      <c r="E31" s="336" t="s">
        <v>18</v>
      </c>
      <c r="F31" s="337"/>
      <c r="G31" s="52" t="s">
        <v>19</v>
      </c>
      <c r="H31" s="338"/>
      <c r="I31" s="339"/>
      <c r="J31" s="339"/>
      <c r="K31" s="340"/>
    </row>
    <row r="32" spans="1:11">
      <c r="A32" s="49" t="s">
        <v>20</v>
      </c>
      <c r="B32" s="50">
        <f t="shared" si="0"/>
        <v>107.40157480314961</v>
      </c>
      <c r="C32" s="19">
        <f>+C30+(2*E34)</f>
        <v>2728</v>
      </c>
      <c r="D32" s="69" t="s">
        <v>21</v>
      </c>
      <c r="E32" s="55" t="s">
        <v>18</v>
      </c>
      <c r="F32" s="56" t="s">
        <v>22</v>
      </c>
      <c r="G32" s="41"/>
      <c r="H32" s="41"/>
      <c r="I32" s="41"/>
      <c r="J32" s="41"/>
      <c r="K32" s="57" t="s">
        <v>50</v>
      </c>
    </row>
    <row r="33" spans="1:11">
      <c r="A33" s="49" t="s">
        <v>23</v>
      </c>
      <c r="B33" s="50">
        <f t="shared" si="0"/>
        <v>63.581350084048488</v>
      </c>
      <c r="C33" s="19">
        <f>+C31+(2*E34)</f>
        <v>1614.9662921348315</v>
      </c>
      <c r="D33" s="70" t="s">
        <v>24</v>
      </c>
      <c r="E33" s="59" t="s">
        <v>18</v>
      </c>
      <c r="F33" s="341"/>
      <c r="G33" s="342"/>
      <c r="H33" s="342"/>
      <c r="I33" s="342"/>
      <c r="J33" s="342"/>
      <c r="K33" s="343"/>
    </row>
    <row r="34" spans="1:11">
      <c r="A34" s="49" t="s">
        <v>25</v>
      </c>
      <c r="B34" s="50">
        <f t="shared" si="0"/>
        <v>114.70033631429465</v>
      </c>
      <c r="C34" s="19">
        <f>SQRT((C30^2)+(C31^2))</f>
        <v>2913.3885423830839</v>
      </c>
      <c r="D34" s="70" t="s">
        <v>26</v>
      </c>
      <c r="E34" s="53">
        <v>94</v>
      </c>
      <c r="F34" s="341"/>
      <c r="G34" s="342"/>
      <c r="H34" s="342"/>
      <c r="I34" s="342"/>
      <c r="J34" s="342"/>
      <c r="K34" s="343"/>
    </row>
    <row r="35" spans="1:11" ht="15.75" thickBot="1">
      <c r="A35" s="60" t="s">
        <v>27</v>
      </c>
      <c r="B35" s="61">
        <f t="shared" si="0"/>
        <v>2.3622047244094491</v>
      </c>
      <c r="C35" s="75">
        <v>60</v>
      </c>
      <c r="D35" s="71" t="s">
        <v>28</v>
      </c>
      <c r="E35" s="64">
        <v>25.4</v>
      </c>
      <c r="F35" s="344"/>
      <c r="G35" s="345"/>
      <c r="H35" s="345"/>
      <c r="I35" s="345"/>
      <c r="J35" s="345"/>
      <c r="K35" s="346"/>
    </row>
    <row r="37" spans="1:11" s="2" customFormat="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s="2" customFormat="1" ht="6.95" customHeight="1">
      <c r="B38" s="125"/>
      <c r="C38" s="4"/>
      <c r="D38" s="26"/>
      <c r="E38" s="26"/>
      <c r="F38" s="4"/>
    </row>
    <row r="39" spans="1:11" s="2" customFormat="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s="2" customFormat="1" ht="15.95" customHeight="1">
      <c r="B40" s="119" t="s">
        <v>32</v>
      </c>
      <c r="C40" s="122" t="s">
        <v>33</v>
      </c>
      <c r="D40" s="121">
        <v>200</v>
      </c>
      <c r="E40" s="121">
        <f>D40*25.4</f>
        <v>5080</v>
      </c>
      <c r="F40" s="4"/>
    </row>
    <row r="41" spans="1:11" s="2" customFormat="1" ht="15.95" customHeight="1">
      <c r="B41" s="119" t="s">
        <v>34</v>
      </c>
      <c r="C41" s="122" t="s">
        <v>35</v>
      </c>
      <c r="D41" s="121">
        <v>200</v>
      </c>
      <c r="E41" s="121">
        <f>D41*25.4</f>
        <v>5080</v>
      </c>
      <c r="G41" s="4" t="s">
        <v>36</v>
      </c>
    </row>
    <row r="43" spans="1:11">
      <c r="B43" s="143" t="s">
        <v>37</v>
      </c>
      <c r="C43" s="144"/>
      <c r="D43" s="144"/>
      <c r="E43" s="144"/>
      <c r="F43" s="144"/>
      <c r="G43" s="144"/>
      <c r="H43" s="144"/>
      <c r="I43" s="144"/>
      <c r="J43" s="144"/>
      <c r="K43" s="144"/>
    </row>
    <row r="44" spans="1:11">
      <c r="B44" s="65" t="s">
        <v>62</v>
      </c>
      <c r="C44" s="65"/>
      <c r="D44" s="65"/>
      <c r="E44" s="65"/>
      <c r="F44" s="65"/>
      <c r="G44" s="65"/>
      <c r="H44" s="65"/>
    </row>
    <row r="45" spans="1:11">
      <c r="B45" s="65" t="s">
        <v>59</v>
      </c>
      <c r="C45" s="65"/>
      <c r="D45" s="65"/>
      <c r="E45" s="65"/>
      <c r="F45" s="65"/>
      <c r="G45" s="65"/>
      <c r="H45" s="65"/>
    </row>
    <row r="46" spans="1:11">
      <c r="B46" s="65" t="s">
        <v>64</v>
      </c>
      <c r="C46" s="65"/>
      <c r="D46" s="65"/>
      <c r="E46" s="65"/>
      <c r="F46" s="65"/>
      <c r="G46" s="65"/>
      <c r="H46" s="65"/>
    </row>
    <row r="47" spans="1:11">
      <c r="B47" s="65"/>
      <c r="C47" s="65"/>
      <c r="D47" s="65"/>
      <c r="E47" s="65"/>
      <c r="F47" s="65"/>
      <c r="G47" s="65"/>
      <c r="H47" s="65"/>
    </row>
    <row r="48" spans="1:11">
      <c r="B48" s="143" t="s">
        <v>42</v>
      </c>
      <c r="C48" s="144"/>
      <c r="D48" s="144"/>
      <c r="E48" s="144"/>
      <c r="F48" s="144"/>
      <c r="G48" s="144"/>
      <c r="H48" s="144"/>
      <c r="I48" s="144"/>
      <c r="J48" s="144"/>
      <c r="K48" s="144"/>
    </row>
    <row r="49" spans="2:4">
      <c r="B49" s="39" t="s">
        <v>149</v>
      </c>
    </row>
    <row r="50" spans="2:4">
      <c r="B50" s="39" t="s">
        <v>44</v>
      </c>
    </row>
    <row r="52" spans="2:4">
      <c r="B52" s="66">
        <f>(+E26/2)+350</f>
        <v>1714</v>
      </c>
      <c r="C52" s="39" t="s">
        <v>45</v>
      </c>
    </row>
    <row r="53" spans="2:4">
      <c r="B53" s="66">
        <v>350</v>
      </c>
      <c r="C53" s="39" t="s">
        <v>46</v>
      </c>
    </row>
    <row r="54" spans="2:4">
      <c r="B54" s="66">
        <v>250</v>
      </c>
      <c r="C54" s="39" t="s">
        <v>27</v>
      </c>
    </row>
    <row r="55" spans="2:4">
      <c r="B55" s="67"/>
      <c r="D55" s="68"/>
    </row>
  </sheetData>
  <mergeCells count="9">
    <mergeCell ref="E31:F31"/>
    <mergeCell ref="H31:K31"/>
    <mergeCell ref="F33:K35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68"/>
  <sheetViews>
    <sheetView showGridLines="0" topLeftCell="A42" workbookViewId="0">
      <selection activeCell="C64" sqref="C64"/>
    </sheetView>
  </sheetViews>
  <sheetFormatPr defaultColWidth="10.875" defaultRowHeight="15"/>
  <cols>
    <col min="1" max="1" width="10" style="2" customWidth="1"/>
    <col min="2" max="16384" width="10.875" style="2"/>
  </cols>
  <sheetData>
    <row r="1" spans="1:11" ht="24.95" customHeight="1">
      <c r="A1" s="321" t="s">
        <v>65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1" s="3" customFormat="1" ht="24" customHeight="1">
      <c r="A2" s="322" t="str">
        <f>+ROUND(B29,0)&amp;""""&amp;" "&amp;E29&amp;" Aspect Ratio"</f>
        <v>149" 2.4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1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>
      <c r="A4" s="4"/>
      <c r="D4" s="4"/>
      <c r="E4" s="4"/>
      <c r="F4" s="4"/>
      <c r="G4" s="4"/>
      <c r="J4" s="4"/>
      <c r="K4" s="4"/>
    </row>
    <row r="5" spans="1:11">
      <c r="A5" s="4"/>
      <c r="D5" s="4"/>
      <c r="F5" s="4"/>
      <c r="G5" s="4"/>
      <c r="J5" s="4"/>
      <c r="K5" s="4"/>
    </row>
    <row r="6" spans="1:11">
      <c r="A6" s="4"/>
      <c r="D6" s="4"/>
      <c r="G6" s="4"/>
      <c r="J6" s="4"/>
      <c r="K6" s="4"/>
    </row>
    <row r="7" spans="1:11">
      <c r="A7" s="4"/>
      <c r="D7" s="4"/>
      <c r="E7" s="7">
        <f>+C29</f>
        <v>3786</v>
      </c>
      <c r="F7" s="4"/>
      <c r="G7" s="4"/>
      <c r="J7" s="4"/>
      <c r="K7" s="4"/>
    </row>
    <row r="8" spans="1:11">
      <c r="A8" s="4"/>
      <c r="D8" s="4"/>
      <c r="E8" s="43">
        <f>+E7/$E$34</f>
        <v>149.05511811023624</v>
      </c>
      <c r="F8" s="4"/>
      <c r="G8" s="4"/>
      <c r="J8" s="4"/>
      <c r="K8" s="4"/>
    </row>
    <row r="9" spans="1:11">
      <c r="A9" s="4"/>
      <c r="E9" s="4"/>
      <c r="F9" s="4"/>
      <c r="G9" s="4"/>
      <c r="J9" s="4"/>
      <c r="K9" s="4"/>
    </row>
    <row r="10" spans="1:11">
      <c r="A10" s="4"/>
      <c r="D10" s="4"/>
      <c r="E10" s="4"/>
      <c r="F10" s="4"/>
      <c r="G10" s="4"/>
      <c r="J10" s="4"/>
      <c r="K10" s="4"/>
    </row>
    <row r="11" spans="1:11">
      <c r="A11" s="4"/>
      <c r="B11" s="7">
        <f>+C30</f>
        <v>1577.5</v>
      </c>
      <c r="E11" s="4"/>
      <c r="G11" s="4"/>
      <c r="K11" s="4"/>
    </row>
    <row r="12" spans="1:11">
      <c r="A12" s="4"/>
      <c r="B12" s="43">
        <f>+B11/$E$34</f>
        <v>62.106299212598429</v>
      </c>
      <c r="E12" s="4"/>
      <c r="F12" s="6"/>
      <c r="G12" s="4"/>
      <c r="J12" s="4"/>
      <c r="K12" s="4"/>
    </row>
    <row r="13" spans="1:11">
      <c r="A13" s="4"/>
      <c r="D13" s="4"/>
      <c r="E13" s="4"/>
      <c r="F13" s="4"/>
      <c r="G13" s="4"/>
      <c r="J13" s="7">
        <f>+C32</f>
        <v>1765.5</v>
      </c>
      <c r="K13" s="4"/>
    </row>
    <row r="14" spans="1:11">
      <c r="A14" s="4"/>
      <c r="D14" s="4"/>
      <c r="E14" s="4"/>
      <c r="F14" s="199">
        <f>+C33</f>
        <v>4101.5</v>
      </c>
      <c r="G14" s="4"/>
      <c r="J14" s="5">
        <f>+J13/$E$34</f>
        <v>69.50787401574803</v>
      </c>
      <c r="K14" s="4"/>
    </row>
    <row r="15" spans="1:11">
      <c r="A15" s="4"/>
      <c r="D15" s="4"/>
      <c r="E15" s="4"/>
      <c r="F15" s="198">
        <f>+F14/$E$34</f>
        <v>161.47637795275591</v>
      </c>
      <c r="G15" s="4"/>
      <c r="J15" s="4"/>
      <c r="K15" s="4"/>
    </row>
    <row r="16" spans="1:11">
      <c r="A16" s="4"/>
      <c r="D16" s="4"/>
      <c r="E16" s="4"/>
      <c r="F16" s="4"/>
      <c r="G16" s="4"/>
      <c r="J16" s="4"/>
      <c r="K16" s="4"/>
    </row>
    <row r="17" spans="1:11">
      <c r="A17" s="4"/>
      <c r="D17" s="4"/>
      <c r="E17" s="4"/>
      <c r="F17" s="4"/>
      <c r="G17" s="4"/>
      <c r="J17" s="4"/>
      <c r="K17" s="4"/>
    </row>
    <row r="18" spans="1:11">
      <c r="A18" s="4"/>
      <c r="D18" s="4"/>
      <c r="E18" s="4"/>
      <c r="F18" s="4"/>
      <c r="G18" s="4"/>
      <c r="J18" s="4"/>
      <c r="K18" s="4"/>
    </row>
    <row r="19" spans="1:11">
      <c r="A19" s="4"/>
      <c r="D19" s="4"/>
      <c r="E19" s="4"/>
      <c r="F19" s="4"/>
      <c r="G19" s="4"/>
      <c r="J19" s="4"/>
      <c r="K19" s="4"/>
    </row>
    <row r="20" spans="1:11">
      <c r="A20" s="4"/>
      <c r="D20" s="4"/>
      <c r="E20" s="4"/>
      <c r="F20" s="4"/>
      <c r="G20" s="4"/>
      <c r="J20" s="4"/>
      <c r="K20" s="4"/>
    </row>
    <row r="21" spans="1:11">
      <c r="A21" s="4"/>
      <c r="D21" s="4"/>
      <c r="E21" s="8"/>
      <c r="F21" s="4"/>
      <c r="G21" s="4"/>
      <c r="J21" s="4"/>
      <c r="K21" s="4"/>
    </row>
    <row r="22" spans="1:11">
      <c r="A22" s="4"/>
      <c r="D22" s="4"/>
      <c r="E22" s="9"/>
      <c r="F22" s="4"/>
      <c r="G22" s="4"/>
      <c r="J22" s="4"/>
      <c r="K22" s="4"/>
    </row>
    <row r="23" spans="1:11">
      <c r="A23" s="4"/>
      <c r="D23" s="4"/>
      <c r="E23" s="4"/>
      <c r="F23" s="4"/>
      <c r="G23" s="4"/>
      <c r="J23" s="4"/>
      <c r="K23" s="4"/>
    </row>
    <row r="24" spans="1:1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>
      <c r="A25" s="4"/>
      <c r="B25" s="4"/>
      <c r="C25" s="4"/>
      <c r="D25" s="4"/>
      <c r="E25" s="72">
        <f>+C31</f>
        <v>3974</v>
      </c>
      <c r="F25" s="4"/>
      <c r="G25" s="4"/>
      <c r="H25" s="4"/>
      <c r="I25" s="4"/>
      <c r="J25" s="4"/>
      <c r="K25" s="199">
        <f>+C34</f>
        <v>178.57</v>
      </c>
    </row>
    <row r="26" spans="1:11">
      <c r="A26" s="4"/>
      <c r="B26" s="4"/>
      <c r="C26" s="4"/>
      <c r="D26" s="4"/>
      <c r="E26" s="198">
        <f>+E25/$E$34</f>
        <v>156.45669291338584</v>
      </c>
      <c r="F26" s="4"/>
      <c r="G26" s="4"/>
      <c r="H26" s="4"/>
      <c r="I26" s="4"/>
      <c r="J26" s="4"/>
      <c r="K26" s="198">
        <f>+K25/$E$34</f>
        <v>7.0303149606299211</v>
      </c>
    </row>
    <row r="27" spans="1:11" ht="15.75" thickBot="1">
      <c r="A27" s="4"/>
      <c r="B27" s="4"/>
      <c r="C27" s="4"/>
      <c r="D27" s="4"/>
      <c r="F27" s="4"/>
      <c r="G27" s="4"/>
      <c r="H27" s="4"/>
      <c r="I27" s="4"/>
      <c r="J27" s="4"/>
    </row>
    <row r="28" spans="1:11">
      <c r="A28" s="10"/>
      <c r="B28" s="11" t="s">
        <v>9</v>
      </c>
      <c r="C28" s="12" t="s">
        <v>10</v>
      </c>
      <c r="D28" s="13" t="s">
        <v>11</v>
      </c>
      <c r="E28" s="323" t="str">
        <f>IF(C30&lt;=2800,"EN 4K or NEO","NEO-W")</f>
        <v>EN 4K or NEO</v>
      </c>
      <c r="F28" s="324"/>
      <c r="G28" s="13" t="s">
        <v>12</v>
      </c>
      <c r="H28" s="325">
        <f ca="1">NOW()</f>
        <v>43166.556318402778</v>
      </c>
      <c r="I28" s="325"/>
      <c r="J28" s="325"/>
      <c r="K28" s="326"/>
    </row>
    <row r="29" spans="1:11">
      <c r="A29" s="149" t="s">
        <v>13</v>
      </c>
      <c r="B29" s="15">
        <f t="shared" ref="B29:B34" si="0">+C29/$E$34</f>
        <v>149.05511811023624</v>
      </c>
      <c r="C29" s="16">
        <v>3786</v>
      </c>
      <c r="D29" s="150" t="s">
        <v>14</v>
      </c>
      <c r="E29" s="327">
        <v>2.4</v>
      </c>
      <c r="F29" s="328"/>
      <c r="G29" s="17" t="s">
        <v>15</v>
      </c>
      <c r="H29" s="329"/>
      <c r="I29" s="329"/>
      <c r="J29" s="329"/>
      <c r="K29" s="330"/>
    </row>
    <row r="30" spans="1:11">
      <c r="A30" s="14" t="s">
        <v>16</v>
      </c>
      <c r="B30" s="15">
        <f t="shared" si="0"/>
        <v>62.106299212598429</v>
      </c>
      <c r="C30" s="18">
        <f>+C29/E29</f>
        <v>1577.5</v>
      </c>
      <c r="D30" s="17" t="s">
        <v>17</v>
      </c>
      <c r="E30" s="316" t="s">
        <v>18</v>
      </c>
      <c r="F30" s="317"/>
      <c r="G30" s="17" t="s">
        <v>19</v>
      </c>
      <c r="H30" s="318"/>
      <c r="I30" s="319"/>
      <c r="J30" s="319"/>
      <c r="K30" s="320"/>
    </row>
    <row r="31" spans="1:11">
      <c r="A31" s="14" t="s">
        <v>20</v>
      </c>
      <c r="B31" s="15">
        <f t="shared" si="0"/>
        <v>156.45669291338584</v>
      </c>
      <c r="C31" s="19">
        <f>+C29+(2*E33)</f>
        <v>3974</v>
      </c>
      <c r="D31" s="17" t="s">
        <v>21</v>
      </c>
      <c r="E31" s="20" t="s">
        <v>18</v>
      </c>
      <c r="F31" s="21" t="s">
        <v>22</v>
      </c>
      <c r="G31" s="4"/>
      <c r="H31" s="4"/>
      <c r="I31" s="4"/>
      <c r="J31" s="4"/>
      <c r="K31" s="22"/>
    </row>
    <row r="32" spans="1:11">
      <c r="A32" s="14" t="s">
        <v>23</v>
      </c>
      <c r="B32" s="15">
        <f t="shared" si="0"/>
        <v>69.50787401574803</v>
      </c>
      <c r="C32" s="19">
        <f>+C30+(2*E33)</f>
        <v>1765.5</v>
      </c>
      <c r="D32" s="23" t="s">
        <v>24</v>
      </c>
      <c r="E32" s="24" t="s">
        <v>18</v>
      </c>
      <c r="F32" s="25"/>
      <c r="G32" s="26"/>
      <c r="H32" s="26"/>
      <c r="I32" s="26"/>
      <c r="J32" s="26"/>
      <c r="K32" s="27"/>
    </row>
    <row r="33" spans="1:11">
      <c r="A33" s="14" t="s">
        <v>25</v>
      </c>
      <c r="B33" s="15">
        <f t="shared" si="0"/>
        <v>161.47637795275591</v>
      </c>
      <c r="C33" s="19">
        <f>SQRT((C29^2)+(C30^2))</f>
        <v>4101.5</v>
      </c>
      <c r="D33" s="23" t="s">
        <v>26</v>
      </c>
      <c r="E33" s="53">
        <v>94</v>
      </c>
      <c r="F33" s="25"/>
      <c r="G33" s="26"/>
      <c r="H33" s="26"/>
      <c r="I33" s="26"/>
      <c r="J33" s="26"/>
      <c r="K33" s="27"/>
    </row>
    <row r="34" spans="1:11" ht="15.75" thickBot="1">
      <c r="A34" s="29" t="s">
        <v>27</v>
      </c>
      <c r="B34" s="30">
        <f t="shared" si="0"/>
        <v>7.0303149606299211</v>
      </c>
      <c r="C34" s="62">
        <f>VLOOKUP(B29,B55:D68,2)</f>
        <v>178.57</v>
      </c>
      <c r="D34" s="32" t="s">
        <v>28</v>
      </c>
      <c r="E34" s="64">
        <v>25.4</v>
      </c>
      <c r="F34" s="34"/>
      <c r="G34" s="34"/>
      <c r="H34" s="34"/>
      <c r="I34" s="34"/>
      <c r="J34" s="34"/>
      <c r="K34" s="73" t="s">
        <v>66</v>
      </c>
    </row>
    <row r="36" spans="1:11" ht="15.95" customHeight="1">
      <c r="B36" s="123" t="s">
        <v>30</v>
      </c>
      <c r="C36" s="127"/>
      <c r="D36" s="132"/>
      <c r="E36" s="132"/>
      <c r="F36" s="127"/>
      <c r="G36" s="127"/>
      <c r="H36" s="127"/>
      <c r="I36" s="127"/>
      <c r="J36" s="127"/>
      <c r="K36" s="127"/>
    </row>
    <row r="37" spans="1:11" ht="6.95" customHeight="1">
      <c r="B37" s="125"/>
      <c r="C37" s="4"/>
      <c r="D37" s="26"/>
      <c r="E37" s="26"/>
      <c r="F37" s="4"/>
    </row>
    <row r="38" spans="1:11" ht="15.95" customHeight="1">
      <c r="B38" s="119"/>
      <c r="C38" s="133" t="s">
        <v>31</v>
      </c>
      <c r="D38" s="133" t="s">
        <v>9</v>
      </c>
      <c r="E38" s="133" t="s">
        <v>10</v>
      </c>
    </row>
    <row r="39" spans="1:11" ht="15.95" customHeight="1">
      <c r="B39" s="119" t="s">
        <v>32</v>
      </c>
      <c r="C39" s="122" t="s">
        <v>33</v>
      </c>
      <c r="D39" s="121">
        <v>210</v>
      </c>
      <c r="E39" s="121">
        <f>D39*25.4</f>
        <v>5334</v>
      </c>
      <c r="F39" s="4"/>
    </row>
    <row r="40" spans="1:11" ht="15.95" customHeight="1">
      <c r="B40" s="119" t="s">
        <v>34</v>
      </c>
      <c r="C40" s="122" t="s">
        <v>35</v>
      </c>
      <c r="D40" s="121">
        <v>210</v>
      </c>
      <c r="E40" s="121">
        <f>D40*25.4</f>
        <v>5334</v>
      </c>
      <c r="G40" s="4" t="s">
        <v>36</v>
      </c>
    </row>
    <row r="41" spans="1:11" ht="15.95" customHeight="1"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1:11" ht="15.95" customHeight="1">
      <c r="B42" s="118" t="s">
        <v>37</v>
      </c>
      <c r="C42" s="127"/>
      <c r="D42" s="127"/>
      <c r="E42" s="127"/>
      <c r="F42" s="127"/>
      <c r="G42" s="127"/>
      <c r="H42" s="127"/>
      <c r="I42" s="127"/>
      <c r="J42" s="127"/>
      <c r="K42" s="127"/>
    </row>
    <row r="43" spans="1:11">
      <c r="B43" s="36" t="s">
        <v>67</v>
      </c>
      <c r="C43" s="36"/>
      <c r="D43" s="36"/>
      <c r="E43" s="36"/>
      <c r="F43" s="36"/>
    </row>
    <row r="45" spans="1:11">
      <c r="B45" s="118" t="s">
        <v>68</v>
      </c>
      <c r="C45" s="127"/>
      <c r="D45" s="127"/>
      <c r="E45" s="127"/>
      <c r="F45" s="127"/>
      <c r="G45" s="127"/>
      <c r="H45" s="127"/>
      <c r="I45" s="127"/>
      <c r="J45" s="127"/>
      <c r="K45" s="127"/>
    </row>
    <row r="46" spans="1:11">
      <c r="B46" s="2" t="s">
        <v>69</v>
      </c>
    </row>
    <row r="47" spans="1:11">
      <c r="B47" s="2" t="s">
        <v>44</v>
      </c>
    </row>
    <row r="48" spans="1:11">
      <c r="B48" s="2" t="s">
        <v>70</v>
      </c>
    </row>
    <row r="49" spans="2:11">
      <c r="B49" s="66">
        <f>+F14/2+50</f>
        <v>2100.75</v>
      </c>
      <c r="C49" s="2" t="s">
        <v>45</v>
      </c>
    </row>
    <row r="50" spans="2:11">
      <c r="B50" s="66">
        <v>350</v>
      </c>
      <c r="C50" s="2" t="s">
        <v>46</v>
      </c>
    </row>
    <row r="51" spans="2:11">
      <c r="B51" s="66">
        <v>260</v>
      </c>
      <c r="C51" s="2" t="s">
        <v>47</v>
      </c>
    </row>
    <row r="52" spans="2:11">
      <c r="B52" s="66"/>
    </row>
    <row r="53" spans="2:11">
      <c r="B53" s="351" t="s">
        <v>71</v>
      </c>
      <c r="C53" s="351"/>
      <c r="D53" s="351"/>
      <c r="E53" s="127"/>
      <c r="F53" s="127"/>
      <c r="G53" s="132"/>
      <c r="H53" s="127"/>
      <c r="I53" s="127"/>
      <c r="J53" s="127"/>
      <c r="K53" s="127"/>
    </row>
    <row r="54" spans="2:11">
      <c r="B54" s="142" t="s">
        <v>72</v>
      </c>
      <c r="C54" s="142" t="s">
        <v>73</v>
      </c>
      <c r="D54" s="142" t="s">
        <v>74</v>
      </c>
      <c r="E54" s="26"/>
      <c r="F54" s="26"/>
      <c r="G54" s="26"/>
      <c r="H54" s="4"/>
      <c r="I54" s="4"/>
      <c r="J54" s="4"/>
      <c r="K54" s="4"/>
    </row>
    <row r="55" spans="2:11">
      <c r="B55" s="141">
        <v>70</v>
      </c>
      <c r="C55" s="136">
        <v>112.14</v>
      </c>
      <c r="D55" s="141">
        <v>13000</v>
      </c>
    </row>
    <row r="56" spans="2:11">
      <c r="B56" s="141">
        <v>80</v>
      </c>
      <c r="C56" s="136">
        <v>122.3</v>
      </c>
      <c r="D56" s="141">
        <v>13000</v>
      </c>
    </row>
    <row r="57" spans="2:11">
      <c r="B57" s="141">
        <v>90</v>
      </c>
      <c r="C57" s="136">
        <v>133.72</v>
      </c>
      <c r="D57" s="141">
        <v>13000</v>
      </c>
      <c r="I57" s="141"/>
      <c r="J57" s="136"/>
      <c r="K57" s="141"/>
    </row>
    <row r="58" spans="2:11">
      <c r="B58" s="141">
        <v>100</v>
      </c>
      <c r="C58" s="136">
        <v>146.37</v>
      </c>
      <c r="D58" s="141">
        <v>13000</v>
      </c>
      <c r="I58" s="141"/>
      <c r="J58" s="136"/>
      <c r="K58" s="141"/>
    </row>
    <row r="59" spans="2:11">
      <c r="B59" s="141">
        <v>110</v>
      </c>
      <c r="C59" s="136">
        <v>149.57</v>
      </c>
      <c r="D59" s="141">
        <v>15000</v>
      </c>
      <c r="I59" s="141"/>
      <c r="J59" s="136"/>
      <c r="K59" s="141"/>
    </row>
    <row r="60" spans="2:11">
      <c r="B60" s="141">
        <v>120</v>
      </c>
      <c r="C60" s="136">
        <v>162.74</v>
      </c>
      <c r="D60" s="141">
        <v>15000</v>
      </c>
      <c r="I60" s="141"/>
      <c r="J60" s="136"/>
      <c r="K60" s="141"/>
    </row>
    <row r="61" spans="2:11">
      <c r="B61" s="141">
        <v>130</v>
      </c>
      <c r="C61" s="136">
        <v>176.96</v>
      </c>
      <c r="D61" s="141">
        <v>15000</v>
      </c>
      <c r="I61" s="141"/>
      <c r="J61" s="136"/>
      <c r="K61" s="141"/>
    </row>
    <row r="62" spans="2:11">
      <c r="B62" s="141">
        <v>140</v>
      </c>
      <c r="C62" s="136">
        <v>178.57</v>
      </c>
      <c r="D62" s="141">
        <v>17000</v>
      </c>
    </row>
    <row r="63" spans="2:11">
      <c r="B63" s="141">
        <v>150</v>
      </c>
      <c r="C63" s="136">
        <v>193.02</v>
      </c>
      <c r="D63" s="141">
        <v>17000</v>
      </c>
      <c r="H63" s="36"/>
    </row>
    <row r="64" spans="2:11">
      <c r="B64" s="141">
        <v>160</v>
      </c>
      <c r="C64" s="136">
        <v>208.43</v>
      </c>
      <c r="D64" s="141">
        <v>17000</v>
      </c>
      <c r="H64" s="36"/>
    </row>
    <row r="65" spans="2:4">
      <c r="B65" s="141">
        <v>170</v>
      </c>
      <c r="C65" s="136">
        <v>208.97</v>
      </c>
      <c r="D65" s="141">
        <v>19000</v>
      </c>
    </row>
    <row r="66" spans="2:4">
      <c r="B66" s="141">
        <v>180</v>
      </c>
      <c r="C66" s="136">
        <v>224.43</v>
      </c>
      <c r="D66" s="141">
        <v>19000</v>
      </c>
    </row>
    <row r="67" spans="2:4">
      <c r="B67" s="141">
        <v>190</v>
      </c>
      <c r="C67" s="136">
        <v>235</v>
      </c>
      <c r="D67" s="141">
        <v>19000</v>
      </c>
    </row>
    <row r="68" spans="2:4">
      <c r="B68" s="141">
        <v>200</v>
      </c>
      <c r="C68" s="136">
        <v>251</v>
      </c>
      <c r="D68" s="141">
        <v>19000</v>
      </c>
    </row>
  </sheetData>
  <mergeCells count="9">
    <mergeCell ref="B53:D53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71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54"/>
  <sheetViews>
    <sheetView showGridLines="0" workbookViewId="0">
      <selection activeCell="I35" sqref="I35"/>
    </sheetView>
  </sheetViews>
  <sheetFormatPr defaultColWidth="10.875" defaultRowHeight="15"/>
  <cols>
    <col min="1" max="1" width="10" style="2" customWidth="1"/>
    <col min="2" max="2" width="11.375" style="2" bestFit="1" customWidth="1"/>
    <col min="3" max="3" width="10.875" style="2"/>
    <col min="4" max="4" width="14.625" style="2" bestFit="1" customWidth="1"/>
    <col min="5" max="16384" width="10.875" style="2"/>
  </cols>
  <sheetData>
    <row r="1" spans="1:12" ht="25.5">
      <c r="A1" s="321" t="s">
        <v>75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</row>
    <row r="2" spans="1:12" s="94" customFormat="1" ht="19.5">
      <c r="A2" s="322" t="str">
        <f>+ROUND(B30,1)&amp;""""&amp;" "&amp;E30&amp;" Aspect Ratio"</f>
        <v>122.6" 2.37 Aspect Ratio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s="94" customFormat="1" ht="19.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4">
        <f>+C35</f>
        <v>147</v>
      </c>
      <c r="L3" s="155"/>
    </row>
    <row r="4" spans="1:12" s="3" customFormat="1" ht="15.95" customHeight="1">
      <c r="A4" s="156"/>
      <c r="B4" s="156"/>
      <c r="C4" s="156"/>
      <c r="D4" s="156"/>
      <c r="E4" s="157">
        <f>E31</f>
        <v>3395</v>
      </c>
      <c r="F4" s="158">
        <f>+E4/$E$35</f>
        <v>133.66141732283467</v>
      </c>
      <c r="G4" s="156"/>
      <c r="H4" s="156"/>
      <c r="I4" s="156"/>
      <c r="J4" s="156"/>
      <c r="K4" s="159">
        <f>+K3/$E$35</f>
        <v>5.78740157480315</v>
      </c>
      <c r="L4" s="160"/>
    </row>
    <row r="5" spans="1:12">
      <c r="A5" s="161"/>
      <c r="B5" s="21"/>
      <c r="C5" s="21"/>
      <c r="D5" s="21"/>
      <c r="E5" s="21"/>
      <c r="F5" s="21"/>
      <c r="G5" s="21"/>
      <c r="H5" s="21"/>
      <c r="I5" s="21"/>
      <c r="J5" s="21"/>
      <c r="K5" s="161"/>
      <c r="L5" s="161"/>
    </row>
    <row r="6" spans="1:12">
      <c r="A6" s="161"/>
      <c r="B6" s="21"/>
      <c r="C6" s="21"/>
      <c r="D6" s="21"/>
      <c r="E6" s="21"/>
      <c r="F6" s="21"/>
      <c r="G6" s="21"/>
      <c r="H6" s="21"/>
      <c r="I6" s="21"/>
      <c r="J6" s="162">
        <f>+F31</f>
        <v>145</v>
      </c>
      <c r="K6" s="21"/>
      <c r="L6" s="161"/>
    </row>
    <row r="7" spans="1:12">
      <c r="A7" s="161"/>
      <c r="B7" s="21"/>
      <c r="C7" s="21"/>
      <c r="D7" s="21"/>
      <c r="E7" s="21"/>
      <c r="F7" s="21"/>
      <c r="G7" s="21"/>
      <c r="H7" s="21"/>
      <c r="I7" s="21"/>
      <c r="J7" s="163">
        <f>+J6/E35</f>
        <v>5.7086614173228352</v>
      </c>
      <c r="K7" s="21"/>
      <c r="L7" s="161"/>
    </row>
    <row r="8" spans="1:12">
      <c r="A8" s="164">
        <f>+E32</f>
        <v>310</v>
      </c>
      <c r="B8" s="21"/>
      <c r="C8" s="21"/>
      <c r="D8" s="21"/>
      <c r="E8" s="21"/>
      <c r="F8" s="21"/>
      <c r="G8" s="21"/>
      <c r="H8" s="21"/>
      <c r="I8" s="21"/>
      <c r="J8" s="161"/>
      <c r="K8" s="21"/>
      <c r="L8" s="161"/>
    </row>
    <row r="9" spans="1:12">
      <c r="A9" s="165">
        <f>+A8/E35</f>
        <v>12.20472440944882</v>
      </c>
      <c r="B9" s="21"/>
      <c r="C9" s="21"/>
      <c r="D9" s="21"/>
      <c r="E9" s="21"/>
      <c r="F9" s="21"/>
      <c r="G9" s="21"/>
      <c r="H9" s="21"/>
      <c r="I9" s="21"/>
      <c r="J9" s="161"/>
      <c r="K9" s="21"/>
      <c r="L9" s="161"/>
    </row>
    <row r="10" spans="1:12">
      <c r="A10" s="16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161"/>
    </row>
    <row r="11" spans="1:12">
      <c r="A11" s="161"/>
      <c r="B11" s="21"/>
      <c r="C11" s="21"/>
      <c r="D11" s="161"/>
      <c r="E11" s="161"/>
      <c r="F11" s="21"/>
      <c r="G11" s="21"/>
      <c r="H11" s="21"/>
      <c r="I11" s="21"/>
      <c r="K11" s="21"/>
      <c r="L11" s="161"/>
    </row>
    <row r="12" spans="1:12">
      <c r="A12" s="21"/>
      <c r="B12" s="21"/>
      <c r="C12" s="21"/>
      <c r="D12" s="21"/>
      <c r="E12" s="154">
        <f>+C30</f>
        <v>3115</v>
      </c>
      <c r="F12" s="21"/>
      <c r="G12" s="21"/>
      <c r="H12" s="21"/>
      <c r="I12" s="21"/>
      <c r="K12" s="21"/>
      <c r="L12" s="161"/>
    </row>
    <row r="13" spans="1:12">
      <c r="B13" s="21"/>
      <c r="C13" s="21"/>
      <c r="D13" s="161"/>
      <c r="E13" s="166">
        <f>+E12/$E$35</f>
        <v>122.63779527559056</v>
      </c>
      <c r="F13" s="161"/>
      <c r="G13" s="21"/>
      <c r="H13" s="21"/>
      <c r="I13" s="21"/>
      <c r="J13" s="161"/>
      <c r="K13" s="21"/>
      <c r="L13" s="161"/>
    </row>
    <row r="14" spans="1:12">
      <c r="B14" s="21"/>
      <c r="C14" s="21"/>
      <c r="D14" s="161"/>
      <c r="F14" s="21"/>
      <c r="G14" s="21"/>
      <c r="H14" s="21"/>
      <c r="I14" s="21"/>
      <c r="J14" s="21"/>
      <c r="K14" s="21"/>
      <c r="L14" s="161"/>
    </row>
    <row r="15" spans="1:12">
      <c r="A15" s="21"/>
      <c r="B15" s="21"/>
      <c r="C15" s="21"/>
      <c r="D15" s="161"/>
      <c r="F15" s="21"/>
      <c r="G15" s="21"/>
      <c r="H15" s="21"/>
      <c r="I15" s="21"/>
      <c r="J15" s="167">
        <f>+C33</f>
        <v>1859.3459915611813</v>
      </c>
      <c r="K15" s="21"/>
      <c r="L15" s="168">
        <f>E20+A8+A22</f>
        <v>1714.3459915611813</v>
      </c>
    </row>
    <row r="16" spans="1:12">
      <c r="B16" s="21"/>
      <c r="D16" s="161"/>
      <c r="E16" s="21"/>
      <c r="F16" s="161"/>
      <c r="G16" s="21"/>
      <c r="H16" s="21"/>
      <c r="I16" s="21"/>
      <c r="J16" s="169">
        <f>+J15/$E$35</f>
        <v>73.202598092959903</v>
      </c>
      <c r="K16" s="21"/>
      <c r="L16" s="170">
        <f>+L15/$E$35</f>
        <v>67.493936675637059</v>
      </c>
    </row>
    <row r="17" spans="1:12">
      <c r="B17" s="21"/>
      <c r="D17" s="21"/>
      <c r="E17" s="21"/>
      <c r="F17" s="167">
        <f>+C34</f>
        <v>3380.9363178760032</v>
      </c>
      <c r="G17" s="161"/>
      <c r="H17" s="21"/>
      <c r="I17" s="21"/>
      <c r="J17" s="21"/>
      <c r="K17" s="21"/>
      <c r="L17" s="307"/>
    </row>
    <row r="18" spans="1:12">
      <c r="A18" s="21"/>
      <c r="B18" s="21"/>
      <c r="C18" s="21"/>
      <c r="D18" s="21"/>
      <c r="E18" s="21"/>
      <c r="F18" s="169">
        <f>+F17/$E$35</f>
        <v>133.10772905023634</v>
      </c>
      <c r="G18" s="161"/>
      <c r="H18" s="21"/>
      <c r="I18" s="21"/>
      <c r="J18" s="21"/>
      <c r="K18" s="21"/>
      <c r="L18" s="161"/>
    </row>
    <row r="19" spans="1:12">
      <c r="A19" s="21"/>
      <c r="B19" s="21"/>
      <c r="C19" s="21"/>
      <c r="D19" s="21"/>
      <c r="E19" s="21"/>
      <c r="G19" s="21"/>
      <c r="H19" s="21"/>
      <c r="I19" s="21"/>
      <c r="J19" s="21"/>
      <c r="K19" s="21"/>
      <c r="L19" s="161"/>
    </row>
    <row r="20" spans="1:12">
      <c r="A20" s="21"/>
      <c r="B20" s="21"/>
      <c r="C20" s="21"/>
      <c r="D20" s="21"/>
      <c r="E20" s="313">
        <f>+C31</f>
        <v>1314.3459915611813</v>
      </c>
      <c r="F20" s="21"/>
      <c r="G20" s="21"/>
      <c r="H20" s="21"/>
      <c r="I20" s="21"/>
      <c r="J20" s="21"/>
      <c r="K20" s="21"/>
      <c r="L20" s="161"/>
    </row>
    <row r="21" spans="1:12">
      <c r="A21" s="21"/>
      <c r="B21" s="21"/>
      <c r="C21" s="21"/>
      <c r="D21" s="21"/>
      <c r="E21" s="170">
        <f>+E20/$E$35</f>
        <v>51.745905179574073</v>
      </c>
      <c r="F21" s="21"/>
      <c r="G21" s="21"/>
      <c r="H21" s="21"/>
      <c r="I21" s="21"/>
      <c r="J21" s="21"/>
      <c r="K21" s="21"/>
      <c r="L21" s="161"/>
    </row>
    <row r="22" spans="1:12">
      <c r="A22" s="162">
        <v>90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161"/>
    </row>
    <row r="23" spans="1:12">
      <c r="A23" s="173">
        <f>A22/E35</f>
        <v>3.5433070866141736</v>
      </c>
      <c r="B23" s="21"/>
      <c r="C23" s="21"/>
      <c r="D23" s="21"/>
      <c r="E23" s="171"/>
      <c r="F23" s="21"/>
      <c r="G23" s="21"/>
      <c r="H23" s="21"/>
      <c r="I23" s="21"/>
      <c r="J23" s="21"/>
      <c r="K23" s="21"/>
      <c r="L23" s="161"/>
    </row>
    <row r="24" spans="1:12">
      <c r="A24" s="161"/>
      <c r="B24" s="21"/>
      <c r="C24" s="21"/>
      <c r="D24" s="21"/>
      <c r="E24" s="172"/>
      <c r="F24" s="21"/>
      <c r="G24" s="21"/>
      <c r="H24" s="21"/>
      <c r="I24" s="21"/>
      <c r="J24" s="21"/>
      <c r="K24" s="21"/>
      <c r="L24" s="161"/>
    </row>
    <row r="25" spans="1:12">
      <c r="B25" s="314" t="s">
        <v>174</v>
      </c>
      <c r="C25" s="315"/>
      <c r="D25" s="314" t="s">
        <v>175</v>
      </c>
      <c r="E25" s="21"/>
      <c r="F25" s="314" t="s">
        <v>176</v>
      </c>
      <c r="G25" s="21"/>
      <c r="H25" s="21"/>
      <c r="I25" s="21"/>
      <c r="J25" s="21"/>
      <c r="K25" s="21"/>
      <c r="L25" s="161"/>
    </row>
    <row r="26" spans="1:12"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161"/>
    </row>
    <row r="27" spans="1:12">
      <c r="B27" s="21"/>
      <c r="C27" s="21"/>
      <c r="D27" s="21"/>
      <c r="E27" s="174"/>
      <c r="F27" s="159"/>
      <c r="G27" s="21"/>
      <c r="H27" s="21"/>
      <c r="I27" s="21"/>
      <c r="J27" s="21"/>
      <c r="K27" s="161"/>
      <c r="L27" s="161"/>
    </row>
    <row r="28" spans="1:12" ht="15.75" thickBot="1">
      <c r="A28" s="21"/>
      <c r="B28" s="21"/>
      <c r="C28" s="21"/>
      <c r="D28" s="21"/>
      <c r="G28" s="21"/>
      <c r="H28" s="21"/>
      <c r="I28" s="21"/>
      <c r="J28" s="21"/>
      <c r="K28" s="161"/>
      <c r="L28" s="161"/>
    </row>
    <row r="29" spans="1:12">
      <c r="A29" s="10"/>
      <c r="B29" s="11" t="s">
        <v>9</v>
      </c>
      <c r="C29" s="12" t="s">
        <v>10</v>
      </c>
      <c r="D29" s="13" t="s">
        <v>11</v>
      </c>
      <c r="E29" s="323" t="s">
        <v>76</v>
      </c>
      <c r="F29" s="324"/>
      <c r="G29" s="13" t="s">
        <v>12</v>
      </c>
      <c r="H29" s="325">
        <f ca="1">NOW()</f>
        <v>43166.556318402778</v>
      </c>
      <c r="I29" s="325"/>
      <c r="J29" s="325"/>
      <c r="K29" s="326"/>
    </row>
    <row r="30" spans="1:12">
      <c r="A30" s="149" t="s">
        <v>13</v>
      </c>
      <c r="B30" s="107">
        <f>C30/E35</f>
        <v>122.63779527559056</v>
      </c>
      <c r="C30" s="89">
        <v>3115</v>
      </c>
      <c r="D30" s="150" t="s">
        <v>14</v>
      </c>
      <c r="E30" s="327">
        <v>2.37</v>
      </c>
      <c r="F30" s="328"/>
      <c r="G30" s="17" t="s">
        <v>15</v>
      </c>
      <c r="H30" s="329" t="s">
        <v>177</v>
      </c>
      <c r="I30" s="329"/>
      <c r="J30" s="329"/>
      <c r="K30" s="330"/>
    </row>
    <row r="31" spans="1:12">
      <c r="A31" s="14" t="s">
        <v>16</v>
      </c>
      <c r="B31" s="107">
        <f>+C31/$E$35</f>
        <v>51.745905179574073</v>
      </c>
      <c r="C31" s="53">
        <f>+C30/E30</f>
        <v>1314.3459915611813</v>
      </c>
      <c r="D31" s="17" t="s">
        <v>77</v>
      </c>
      <c r="E31" s="18">
        <f>C30+280</f>
        <v>3395</v>
      </c>
      <c r="F31" s="18">
        <v>145</v>
      </c>
      <c r="G31" s="17" t="s">
        <v>19</v>
      </c>
      <c r="H31" s="318"/>
      <c r="I31" s="319"/>
      <c r="J31" s="319"/>
      <c r="K31" s="320"/>
    </row>
    <row r="32" spans="1:12">
      <c r="A32" s="14" t="s">
        <v>20</v>
      </c>
      <c r="B32" s="107">
        <f>+C32/$E$35</f>
        <v>133.66141732283467</v>
      </c>
      <c r="C32" s="54">
        <f>E31</f>
        <v>3395</v>
      </c>
      <c r="D32" s="17" t="s">
        <v>78</v>
      </c>
      <c r="E32" s="18">
        <v>310</v>
      </c>
      <c r="F32" s="108" t="s">
        <v>168</v>
      </c>
      <c r="G32" s="109"/>
      <c r="H32" s="196" t="s">
        <v>172</v>
      </c>
      <c r="I32" s="4"/>
      <c r="J32" s="4"/>
      <c r="K32" s="22"/>
    </row>
    <row r="33" spans="1:11">
      <c r="A33" s="14" t="s">
        <v>23</v>
      </c>
      <c r="B33" s="107">
        <f>+C33/$E$35</f>
        <v>73.202598092959903</v>
      </c>
      <c r="C33" s="54">
        <f>+C31+J6+A8+90</f>
        <v>1859.3459915611813</v>
      </c>
      <c r="D33" s="23" t="s">
        <v>24</v>
      </c>
      <c r="E33" s="110" t="s">
        <v>79</v>
      </c>
      <c r="F33" s="25" t="s">
        <v>169</v>
      </c>
      <c r="G33" s="26"/>
      <c r="H33" s="26" t="s">
        <v>173</v>
      </c>
      <c r="I33" s="26"/>
      <c r="J33" s="26"/>
      <c r="K33" s="27"/>
    </row>
    <row r="34" spans="1:11">
      <c r="A34" s="14" t="s">
        <v>25</v>
      </c>
      <c r="B34" s="107">
        <f>+C34/$E$35</f>
        <v>133.10772905023634</v>
      </c>
      <c r="C34" s="54">
        <f>SQRT((C30^2)+(C31^2))</f>
        <v>3380.9363178760032</v>
      </c>
      <c r="D34" s="23" t="s">
        <v>80</v>
      </c>
      <c r="E34" s="53">
        <f>C32</f>
        <v>3395</v>
      </c>
      <c r="F34" s="25" t="s">
        <v>170</v>
      </c>
      <c r="G34" s="26"/>
      <c r="H34" s="26"/>
      <c r="I34" s="26"/>
      <c r="J34" s="26"/>
      <c r="K34" s="27"/>
    </row>
    <row r="35" spans="1:11" ht="15.75" thickBot="1">
      <c r="A35" s="29" t="s">
        <v>27</v>
      </c>
      <c r="B35" s="111">
        <f>+C35/$E$35</f>
        <v>5.78740157480315</v>
      </c>
      <c r="C35" s="62">
        <v>147</v>
      </c>
      <c r="D35" s="32" t="s">
        <v>28</v>
      </c>
      <c r="E35" s="64">
        <v>25.4</v>
      </c>
      <c r="F35" s="34" t="s">
        <v>171</v>
      </c>
      <c r="G35" s="34"/>
      <c r="H35" s="34"/>
      <c r="I35" s="34"/>
      <c r="J35" s="34"/>
      <c r="K35" s="73" t="s">
        <v>66</v>
      </c>
    </row>
    <row r="37" spans="1:11" ht="15.95" customHeight="1">
      <c r="B37" s="123" t="s">
        <v>30</v>
      </c>
      <c r="C37" s="127"/>
      <c r="D37" s="132"/>
      <c r="E37" s="132"/>
      <c r="F37" s="127"/>
      <c r="G37" s="127"/>
      <c r="H37" s="127"/>
      <c r="I37" s="127"/>
      <c r="J37" s="127"/>
      <c r="K37" s="127"/>
    </row>
    <row r="38" spans="1:11" ht="6.95" customHeight="1">
      <c r="B38" s="125"/>
      <c r="C38" s="4"/>
      <c r="D38" s="26"/>
      <c r="E38" s="26"/>
      <c r="F38" s="4"/>
    </row>
    <row r="39" spans="1:11" ht="15.95" customHeight="1">
      <c r="B39" s="119"/>
      <c r="C39" s="133" t="s">
        <v>31</v>
      </c>
      <c r="D39" s="133" t="s">
        <v>9</v>
      </c>
      <c r="E39" s="133" t="s">
        <v>10</v>
      </c>
    </row>
    <row r="40" spans="1:11" ht="15.95" customHeight="1">
      <c r="B40" s="119" t="s">
        <v>32</v>
      </c>
      <c r="C40" s="122" t="s">
        <v>33</v>
      </c>
      <c r="D40" s="121">
        <v>160</v>
      </c>
      <c r="E40" s="121">
        <f>D40*25.4</f>
        <v>4064</v>
      </c>
      <c r="F40" s="4"/>
    </row>
    <row r="41" spans="1:11" ht="15.95" customHeight="1">
      <c r="B41" s="119" t="s">
        <v>34</v>
      </c>
      <c r="C41" s="122" t="s">
        <v>35</v>
      </c>
      <c r="D41" s="121">
        <v>160</v>
      </c>
      <c r="E41" s="121">
        <f>D41*25.4</f>
        <v>4064</v>
      </c>
      <c r="G41" s="4" t="s">
        <v>36</v>
      </c>
    </row>
    <row r="42" spans="1:11" ht="15.95" customHeight="1">
      <c r="B42" s="119"/>
      <c r="C42" s="122"/>
      <c r="D42" s="121"/>
      <c r="E42" s="121"/>
    </row>
    <row r="43" spans="1:11">
      <c r="B43" s="118" t="s">
        <v>37</v>
      </c>
      <c r="C43" s="127"/>
      <c r="D43" s="127"/>
      <c r="E43" s="127"/>
      <c r="F43" s="127"/>
      <c r="G43" s="127"/>
      <c r="H43" s="127"/>
      <c r="I43" s="127"/>
      <c r="J43" s="127"/>
      <c r="K43" s="127"/>
    </row>
    <row r="44" spans="1:11">
      <c r="B44" s="36" t="s">
        <v>82</v>
      </c>
      <c r="C44" s="36"/>
      <c r="D44" s="36"/>
      <c r="E44" s="36"/>
      <c r="F44" s="36"/>
      <c r="G44" s="36"/>
      <c r="H44" s="36"/>
    </row>
    <row r="45" spans="1:11">
      <c r="B45" s="36" t="s">
        <v>83</v>
      </c>
      <c r="C45" s="36"/>
      <c r="D45" s="36"/>
      <c r="E45" s="36"/>
      <c r="F45" s="36"/>
      <c r="G45" s="36"/>
      <c r="H45" s="36"/>
    </row>
    <row r="46" spans="1:11">
      <c r="B46" s="36"/>
      <c r="C46" s="36"/>
      <c r="D46" s="36"/>
      <c r="E46" s="36"/>
      <c r="F46" s="36"/>
      <c r="G46" s="36"/>
      <c r="H46" s="36"/>
    </row>
    <row r="47" spans="1:11">
      <c r="B47" s="118" t="s">
        <v>42</v>
      </c>
      <c r="C47" s="127"/>
      <c r="D47" s="127"/>
      <c r="E47" s="127"/>
      <c r="F47" s="127"/>
      <c r="G47" s="127"/>
      <c r="H47" s="127"/>
      <c r="I47" s="127"/>
      <c r="J47" s="127"/>
      <c r="K47" s="127"/>
    </row>
    <row r="48" spans="1:11">
      <c r="B48" s="2" t="s">
        <v>84</v>
      </c>
    </row>
    <row r="49" spans="2:3" ht="6.95" customHeight="1"/>
    <row r="50" spans="2:3">
      <c r="B50" s="2" t="s">
        <v>85</v>
      </c>
    </row>
    <row r="51" spans="2:3">
      <c r="B51" s="66">
        <f>+E31+100</f>
        <v>3495</v>
      </c>
      <c r="C51" s="2" t="s">
        <v>45</v>
      </c>
    </row>
    <row r="52" spans="2:3">
      <c r="B52" s="37">
        <v>350</v>
      </c>
      <c r="C52" s="2" t="s">
        <v>46</v>
      </c>
    </row>
    <row r="53" spans="2:3">
      <c r="B53" s="37">
        <v>250</v>
      </c>
      <c r="C53" s="2" t="s">
        <v>27</v>
      </c>
    </row>
    <row r="54" spans="2:3">
      <c r="B54" s="38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21</vt:i4>
      </vt:variant>
    </vt:vector>
  </HeadingPairs>
  <TitlesOfParts>
    <vt:vector size="43" baseType="lpstr">
      <vt:lpstr>Instructions</vt:lpstr>
      <vt:lpstr>FullScreen</vt:lpstr>
      <vt:lpstr>Slim</vt:lpstr>
      <vt:lpstr>Contrast</vt:lpstr>
      <vt:lpstr>Contrast Advanced</vt:lpstr>
      <vt:lpstr>Reference</vt:lpstr>
      <vt:lpstr>Reference Advanced</vt:lpstr>
      <vt:lpstr>VistaCurve</vt:lpstr>
      <vt:lpstr>RST</vt:lpstr>
      <vt:lpstr>RST In Ceiling</vt:lpstr>
      <vt:lpstr>MediaTime</vt:lpstr>
      <vt:lpstr>RM2T</vt:lpstr>
      <vt:lpstr>MFR HD</vt:lpstr>
      <vt:lpstr>MFR WS</vt:lpstr>
      <vt:lpstr>TAM 1</vt:lpstr>
      <vt:lpstr>TAM TB</vt:lpstr>
      <vt:lpstr>TAM2-L</vt:lpstr>
      <vt:lpstr>TAM FC</vt:lpstr>
      <vt:lpstr>Absolute</vt:lpstr>
      <vt:lpstr>TAM-4</vt:lpstr>
      <vt:lpstr>Movie Partner Bordered</vt:lpstr>
      <vt:lpstr>Movie Partner Borderless</vt:lpstr>
      <vt:lpstr>Absolute!Print_Area</vt:lpstr>
      <vt:lpstr>Contrast!Print_Area</vt:lpstr>
      <vt:lpstr>'Contrast Advanced'!Print_Area</vt:lpstr>
      <vt:lpstr>FullScreen!Print_Area</vt:lpstr>
      <vt:lpstr>MediaTime!Print_Area</vt:lpstr>
      <vt:lpstr>'MFR HD'!Print_Area</vt:lpstr>
      <vt:lpstr>'MFR WS'!Print_Area</vt:lpstr>
      <vt:lpstr>'Movie Partner Bordered'!Print_Area</vt:lpstr>
      <vt:lpstr>'Movie Partner Borderless'!Print_Area</vt:lpstr>
      <vt:lpstr>Reference!Print_Area</vt:lpstr>
      <vt:lpstr>'Reference Advanced'!Print_Area</vt:lpstr>
      <vt:lpstr>RM2T!Print_Area</vt:lpstr>
      <vt:lpstr>RST!Print_Area</vt:lpstr>
      <vt:lpstr>'RST In Ceiling'!Print_Area</vt:lpstr>
      <vt:lpstr>Slim!Print_Area</vt:lpstr>
      <vt:lpstr>'TAM 1'!Print_Area</vt:lpstr>
      <vt:lpstr>'TAM FC'!Print_Area</vt:lpstr>
      <vt:lpstr>'TAM TB'!Print_Area</vt:lpstr>
      <vt:lpstr>'TAM2-L'!Print_Area</vt:lpstr>
      <vt:lpstr>'TAM-4'!Print_Area</vt:lpstr>
      <vt:lpstr>VistaCurve!Print_Area</vt:lpstr>
    </vt:vector>
  </TitlesOfParts>
  <Manager/>
  <Company>Screen Excellence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McLain</dc:creator>
  <cp:keywords/>
  <dc:description/>
  <cp:lastModifiedBy>Simon Britcliffe</cp:lastModifiedBy>
  <cp:revision/>
  <cp:lastPrinted>2018-03-06T16:40:25Z</cp:lastPrinted>
  <dcterms:created xsi:type="dcterms:W3CDTF">2014-06-20T15:51:12Z</dcterms:created>
  <dcterms:modified xsi:type="dcterms:W3CDTF">2018-03-07T13:21:07Z</dcterms:modified>
  <cp:category/>
  <cp:contentStatus/>
</cp:coreProperties>
</file>