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screenexcellence-my.sharepoint.com/personal/jaro_screenexcellence_com/Documents/Screen Excellence Ltd/Marketing/New SE Logo files for the web/"/>
    </mc:Choice>
  </mc:AlternateContent>
  <xr:revisionPtr revIDLastSave="23" documentId="8_{A6BA8111-2196-194E-8480-3622ADE9BDF8}" xr6:coauthVersionLast="36" xr6:coauthVersionMax="36" xr10:uidLastSave="{C6A7B471-D653-8B47-BA98-056990A6D808}"/>
  <bookViews>
    <workbookView xWindow="1820" yWindow="1140" windowWidth="25280" windowHeight="15120" tabRatio="685" firstSheet="12" activeTab="20" xr2:uid="{00000000-000D-0000-FFFF-FFFF00000000}"/>
  </bookViews>
  <sheets>
    <sheet name="Instructions" sheetId="9" r:id="rId1"/>
    <sheet name="FullScreen" sheetId="20" r:id="rId2"/>
    <sheet name="Slim" sheetId="4" r:id="rId3"/>
    <sheet name="Contrast" sheetId="14" r:id="rId4"/>
    <sheet name="Contrast Advanced" sheetId="24" r:id="rId5"/>
    <sheet name="Reference" sheetId="3" r:id="rId6"/>
    <sheet name="Reference Advanced" sheetId="25" r:id="rId7"/>
    <sheet name="VistaCurve" sheetId="7" r:id="rId8"/>
    <sheet name="RST" sheetId="13" r:id="rId9"/>
    <sheet name="RST In Ceiling" sheetId="18" r:id="rId10"/>
    <sheet name="MediaTime" sheetId="26" r:id="rId11"/>
    <sheet name="RM2T" sheetId="6" r:id="rId12"/>
    <sheet name="MFR HD" sheetId="22" r:id="rId13"/>
    <sheet name="MFR WS" sheetId="23" r:id="rId14"/>
    <sheet name="TAM 1" sheetId="10" r:id="rId15"/>
    <sheet name="TAM TB" sheetId="2" r:id="rId16"/>
    <sheet name="TAM2-L" sheetId="11" r:id="rId17"/>
    <sheet name="TAM FC" sheetId="8" r:id="rId18"/>
    <sheet name="Absolute" sheetId="5" r:id="rId19"/>
    <sheet name="TAM-4" sheetId="19" r:id="rId20"/>
    <sheet name="Movie Partner Bordered" sheetId="15" r:id="rId21"/>
    <sheet name="Movie Partner Borderless" sheetId="17" r:id="rId22"/>
  </sheets>
  <definedNames>
    <definedName name="_xlnm.Print_Area" localSheetId="18">Absolute!$A$1:$K$70</definedName>
    <definedName name="_xlnm.Print_Area" localSheetId="3">Contrast!$A$1:$K$59</definedName>
    <definedName name="_xlnm.Print_Area" localSheetId="4">'Contrast Advanced'!$A$1:$K$59</definedName>
    <definedName name="_xlnm.Print_Area" localSheetId="1">FullScreen!$A$1:$K$55</definedName>
    <definedName name="_xlnm.Print_Area" localSheetId="10">MediaTime!$A$1:$L$70</definedName>
    <definedName name="_xlnm.Print_Area" localSheetId="12">'MFR HD'!$A$1:$L$62</definedName>
    <definedName name="_xlnm.Print_Area" localSheetId="13">'MFR WS'!$A$1:$L$61</definedName>
    <definedName name="_xlnm.Print_Area" localSheetId="20">'Movie Partner Bordered'!$A$1:$L$52</definedName>
    <definedName name="_xlnm.Print_Area" localSheetId="21">'Movie Partner Borderless'!$A$1:$K$55</definedName>
    <definedName name="_xlnm.Print_Area" localSheetId="5">Reference!$A$1:$K$61</definedName>
    <definedName name="_xlnm.Print_Area" localSheetId="6">'Reference Advanced'!$A$1:$K$60</definedName>
    <definedName name="_xlnm.Print_Area" localSheetId="11">RM2T!$A$1:$L$70</definedName>
    <definedName name="_xlnm.Print_Area" localSheetId="8">RST!$A$1:$L$58</definedName>
    <definedName name="_xlnm.Print_Area" localSheetId="9">'RST In Ceiling'!$A$1:$L$86</definedName>
    <definedName name="_xlnm.Print_Area" localSheetId="2">Slim!$A$1:$K$55</definedName>
    <definedName name="_xlnm.Print_Area" localSheetId="14">'TAM 1'!$A$1:$L$61</definedName>
    <definedName name="_xlnm.Print_Area" localSheetId="17">'TAM FC'!$A$1:$K$60</definedName>
    <definedName name="_xlnm.Print_Area" localSheetId="15">'TAM TB'!$A$1:$L$59</definedName>
    <definedName name="_xlnm.Print_Area" localSheetId="19">'TAM-4'!$A$1:$L$54</definedName>
    <definedName name="_xlnm.Print_Area" localSheetId="16">'TAM2-L'!$A$1:$L$62</definedName>
    <definedName name="_xlnm.Print_Area" localSheetId="7">VistaCurve!$A$1:$K$67</definedName>
  </definedNames>
  <calcPr calcId="179021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1" i="5" l="1"/>
  <c r="B39" i="8"/>
  <c r="B38" i="11"/>
  <c r="B38" i="2"/>
  <c r="B38" i="10"/>
  <c r="G45" i="25"/>
  <c r="G44" i="25"/>
  <c r="G43" i="25"/>
  <c r="G42" i="25"/>
  <c r="G41" i="25"/>
  <c r="G40" i="25"/>
  <c r="G43" i="3"/>
  <c r="G42" i="3"/>
  <c r="G41" i="3"/>
  <c r="G40" i="3"/>
  <c r="F7" i="5"/>
  <c r="F8" i="5" s="1"/>
  <c r="A28" i="18" l="1"/>
  <c r="C34" i="11" l="1"/>
  <c r="E31" i="23" l="1"/>
  <c r="C31" i="3" l="1"/>
  <c r="E29" i="3" s="1"/>
  <c r="B30" i="3" l="1"/>
  <c r="A2" i="3" s="1"/>
  <c r="C32" i="5"/>
  <c r="C31" i="11"/>
  <c r="E26" i="11" s="1"/>
  <c r="E27" i="11" s="1"/>
  <c r="C31" i="13"/>
  <c r="E21" i="13" s="1"/>
  <c r="A8" i="13"/>
  <c r="A25" i="13"/>
  <c r="C31" i="25"/>
  <c r="C34" i="20"/>
  <c r="B34" i="20" s="1"/>
  <c r="C30" i="2"/>
  <c r="E33" i="2"/>
  <c r="C31" i="2" s="1"/>
  <c r="C34" i="2"/>
  <c r="B34" i="2" s="1"/>
  <c r="A23" i="23"/>
  <c r="A26" i="22"/>
  <c r="A26" i="6"/>
  <c r="A26" i="26"/>
  <c r="E34" i="26"/>
  <c r="E28" i="26" s="1"/>
  <c r="F28" i="26" s="1"/>
  <c r="E31" i="26"/>
  <c r="B51" i="26" s="1"/>
  <c r="E41" i="26"/>
  <c r="E40" i="26"/>
  <c r="B35" i="26"/>
  <c r="C31" i="26"/>
  <c r="C34" i="26" s="1"/>
  <c r="J6" i="26"/>
  <c r="J7" i="26" s="1"/>
  <c r="A8" i="26"/>
  <c r="A9" i="26" s="1"/>
  <c r="B30" i="26"/>
  <c r="A2" i="26" s="1"/>
  <c r="H29" i="26"/>
  <c r="E11" i="26"/>
  <c r="E12" i="26" s="1"/>
  <c r="K3" i="26"/>
  <c r="K4" i="26"/>
  <c r="C32" i="25"/>
  <c r="E26" i="25" s="1"/>
  <c r="B35" i="25"/>
  <c r="C34" i="25"/>
  <c r="B34" i="25" s="1"/>
  <c r="B30" i="25"/>
  <c r="A2" i="25" s="1"/>
  <c r="H29" i="25"/>
  <c r="K25" i="25"/>
  <c r="K26" i="25" s="1"/>
  <c r="D11" i="25"/>
  <c r="D12" i="25" s="1"/>
  <c r="E5" i="25"/>
  <c r="E6" i="25" s="1"/>
  <c r="C32" i="24"/>
  <c r="E26" i="24" s="1"/>
  <c r="G45" i="24"/>
  <c r="G44" i="24"/>
  <c r="G43" i="24"/>
  <c r="G42" i="24"/>
  <c r="G41" i="24"/>
  <c r="G40" i="24"/>
  <c r="B35" i="24"/>
  <c r="C31" i="24"/>
  <c r="C33" i="24" s="1"/>
  <c r="B30" i="24"/>
  <c r="A2" i="24" s="1"/>
  <c r="H29" i="24"/>
  <c r="K25" i="24"/>
  <c r="K26" i="24" s="1"/>
  <c r="E5" i="24"/>
  <c r="E6" i="24" s="1"/>
  <c r="B49" i="23"/>
  <c r="E40" i="23"/>
  <c r="B35" i="23"/>
  <c r="E34" i="23"/>
  <c r="E24" i="23" s="1"/>
  <c r="F24" i="23" s="1"/>
  <c r="C31" i="23"/>
  <c r="E12" i="23" s="1"/>
  <c r="E13" i="23" s="1"/>
  <c r="J6" i="23"/>
  <c r="A7" i="23"/>
  <c r="A8" i="23" s="1"/>
  <c r="B30" i="23"/>
  <c r="A2" i="23" s="1"/>
  <c r="H29" i="23"/>
  <c r="H19" i="23"/>
  <c r="H20" i="23" s="1"/>
  <c r="K3" i="23"/>
  <c r="K4" i="23" s="1"/>
  <c r="E31" i="22"/>
  <c r="B49" i="22" s="1"/>
  <c r="E40" i="22"/>
  <c r="B35" i="22"/>
  <c r="E34" i="22"/>
  <c r="E28" i="22" s="1"/>
  <c r="F28" i="22" s="1"/>
  <c r="C31" i="22"/>
  <c r="C34" i="22"/>
  <c r="B34" i="22" s="1"/>
  <c r="J6" i="22"/>
  <c r="J7" i="22" s="1"/>
  <c r="A8" i="22"/>
  <c r="A9" i="22" s="1"/>
  <c r="B30" i="22"/>
  <c r="A2" i="22" s="1"/>
  <c r="H29" i="22"/>
  <c r="E23" i="22"/>
  <c r="E24" i="22" s="1"/>
  <c r="H18" i="22"/>
  <c r="H19" i="22" s="1"/>
  <c r="K3" i="22"/>
  <c r="K4" i="22" s="1"/>
  <c r="B29" i="7"/>
  <c r="A2" i="7" s="1"/>
  <c r="B30" i="13"/>
  <c r="A2" i="13" s="1"/>
  <c r="B35" i="15"/>
  <c r="B30" i="5"/>
  <c r="C30" i="20"/>
  <c r="E28" i="20" s="1"/>
  <c r="C31" i="5"/>
  <c r="C31" i="8"/>
  <c r="E29" i="8" s="1"/>
  <c r="C30" i="7"/>
  <c r="E28" i="7" s="1"/>
  <c r="C30" i="4"/>
  <c r="E28" i="4" s="1"/>
  <c r="B32" i="5"/>
  <c r="C32" i="8"/>
  <c r="B57" i="8" s="1"/>
  <c r="C30" i="11"/>
  <c r="E31" i="11" s="1"/>
  <c r="E21" i="11" s="1"/>
  <c r="E22" i="11" s="1"/>
  <c r="G47" i="11"/>
  <c r="G46" i="10"/>
  <c r="G43" i="14"/>
  <c r="G42" i="14"/>
  <c r="C31" i="20"/>
  <c r="E26" i="20" s="1"/>
  <c r="B52" i="20" s="1"/>
  <c r="E40" i="20"/>
  <c r="E39" i="20"/>
  <c r="B29" i="20"/>
  <c r="A2" i="20" s="1"/>
  <c r="H28" i="20"/>
  <c r="E5" i="20"/>
  <c r="E6" i="20" s="1"/>
  <c r="E5" i="8"/>
  <c r="C30" i="19"/>
  <c r="E28" i="19" s="1"/>
  <c r="C31" i="19"/>
  <c r="B50" i="19" s="1"/>
  <c r="K25" i="19"/>
  <c r="K26" i="19" s="1"/>
  <c r="G40" i="19"/>
  <c r="F8" i="19"/>
  <c r="F9" i="19" s="1"/>
  <c r="B34" i="19"/>
  <c r="B29" i="19"/>
  <c r="A2" i="19" s="1"/>
  <c r="H28" i="19"/>
  <c r="B32" i="18"/>
  <c r="A2" i="18" s="1"/>
  <c r="E33" i="18"/>
  <c r="C34" i="18" s="1"/>
  <c r="E36" i="18" s="1"/>
  <c r="E43" i="18"/>
  <c r="E42" i="18"/>
  <c r="B37" i="18"/>
  <c r="C33" i="18"/>
  <c r="C18" i="18" s="1"/>
  <c r="J7" i="18"/>
  <c r="J8" i="18" s="1"/>
  <c r="A10" i="18"/>
  <c r="A11" i="18" s="1"/>
  <c r="H31" i="18"/>
  <c r="E14" i="18"/>
  <c r="E15" i="18" s="1"/>
  <c r="K4" i="18"/>
  <c r="K5" i="18" s="1"/>
  <c r="E40" i="17"/>
  <c r="E39" i="17"/>
  <c r="E41" i="15"/>
  <c r="E40" i="15"/>
  <c r="C31" i="15"/>
  <c r="E29" i="15" s="1"/>
  <c r="C30" i="17"/>
  <c r="C31" i="17"/>
  <c r="E26" i="17" s="1"/>
  <c r="E27" i="17" s="1"/>
  <c r="B34" i="17"/>
  <c r="B29" i="17"/>
  <c r="A2" i="17" s="1"/>
  <c r="H28" i="17"/>
  <c r="K25" i="17"/>
  <c r="K26" i="17"/>
  <c r="E5" i="17"/>
  <c r="E6" i="17" s="1"/>
  <c r="C32" i="15"/>
  <c r="E26" i="15" s="1"/>
  <c r="E27" i="15" s="1"/>
  <c r="B30" i="15"/>
  <c r="A2" i="15" s="1"/>
  <c r="H29" i="15"/>
  <c r="K25" i="15"/>
  <c r="K26" i="15" s="1"/>
  <c r="E5" i="15"/>
  <c r="E6" i="15" s="1"/>
  <c r="G45" i="14"/>
  <c r="G41" i="14"/>
  <c r="G44" i="14"/>
  <c r="G40" i="14"/>
  <c r="G48" i="11"/>
  <c r="G46" i="11"/>
  <c r="G47" i="2"/>
  <c r="G45" i="2"/>
  <c r="G45" i="10"/>
  <c r="C30" i="10"/>
  <c r="C31" i="14"/>
  <c r="C33" i="14" s="1"/>
  <c r="E31" i="6"/>
  <c r="C32" i="6" s="1"/>
  <c r="B32" i="6" s="1"/>
  <c r="E31" i="13"/>
  <c r="E4" i="13" s="1"/>
  <c r="F4" i="13" s="1"/>
  <c r="C31" i="4"/>
  <c r="B31" i="4" s="1"/>
  <c r="E11" i="10"/>
  <c r="F8" i="2"/>
  <c r="E40" i="4"/>
  <c r="E39" i="4"/>
  <c r="E40" i="7"/>
  <c r="E39" i="7"/>
  <c r="E41" i="13"/>
  <c r="E40" i="13"/>
  <c r="E40" i="6"/>
  <c r="G47" i="10"/>
  <c r="E56" i="5"/>
  <c r="E47" i="8"/>
  <c r="E41" i="6"/>
  <c r="K3" i="13"/>
  <c r="K4" i="13" s="1"/>
  <c r="C32" i="14"/>
  <c r="E26" i="14" s="1"/>
  <c r="B35" i="14"/>
  <c r="B30" i="14"/>
  <c r="A2" i="14" s="1"/>
  <c r="H29" i="14"/>
  <c r="K25" i="14"/>
  <c r="K26" i="14" s="1"/>
  <c r="E5" i="14"/>
  <c r="E6" i="14" s="1"/>
  <c r="J6" i="13"/>
  <c r="J7" i="13" s="1"/>
  <c r="B35" i="13"/>
  <c r="H29" i="13"/>
  <c r="E14" i="13"/>
  <c r="E15" i="13" s="1"/>
  <c r="A9" i="13"/>
  <c r="C32" i="3"/>
  <c r="E26" i="3" s="1"/>
  <c r="B57" i="3" s="1"/>
  <c r="C31" i="6"/>
  <c r="J6" i="6"/>
  <c r="A8" i="6"/>
  <c r="A9" i="6" s="1"/>
  <c r="E34" i="6"/>
  <c r="E28" i="6" s="1"/>
  <c r="F28" i="6" s="1"/>
  <c r="B29" i="4"/>
  <c r="A2" i="4" s="1"/>
  <c r="B30" i="6"/>
  <c r="A2" i="6" s="1"/>
  <c r="H29" i="3"/>
  <c r="K25" i="11"/>
  <c r="K26" i="11" s="1"/>
  <c r="E5" i="11"/>
  <c r="E6" i="11" s="1"/>
  <c r="B34" i="11"/>
  <c r="B29" i="11"/>
  <c r="A2" i="11" s="1"/>
  <c r="H28" i="11"/>
  <c r="K25" i="10"/>
  <c r="K26" i="10"/>
  <c r="C31" i="10"/>
  <c r="E26" i="10" s="1"/>
  <c r="E27" i="10" s="1"/>
  <c r="B34" i="10"/>
  <c r="E31" i="10"/>
  <c r="H15" i="10" s="1"/>
  <c r="H16" i="10" s="1"/>
  <c r="B29" i="10"/>
  <c r="A2" i="10" s="1"/>
  <c r="H28" i="10"/>
  <c r="K25" i="8"/>
  <c r="K26" i="8" s="1"/>
  <c r="E26" i="8"/>
  <c r="E27" i="8" s="1"/>
  <c r="C39" i="8"/>
  <c r="E39" i="8" s="1"/>
  <c r="B35" i="8"/>
  <c r="B30" i="8"/>
  <c r="A2" i="8" s="1"/>
  <c r="H29" i="8"/>
  <c r="H29" i="6"/>
  <c r="H28" i="4"/>
  <c r="H28" i="7"/>
  <c r="H29" i="5"/>
  <c r="H28" i="2"/>
  <c r="C32" i="7"/>
  <c r="B32" i="7" s="1"/>
  <c r="C31" i="7"/>
  <c r="E25" i="7" s="1"/>
  <c r="E26" i="7" s="1"/>
  <c r="B30" i="7"/>
  <c r="E7" i="7"/>
  <c r="E8" i="7" s="1"/>
  <c r="B35" i="6"/>
  <c r="K3" i="6"/>
  <c r="K4" i="6" s="1"/>
  <c r="E11" i="6"/>
  <c r="E12" i="6" s="1"/>
  <c r="B29" i="2"/>
  <c r="A2" i="2" s="1"/>
  <c r="B34" i="4"/>
  <c r="K25" i="4"/>
  <c r="K26" i="4" s="1"/>
  <c r="E5" i="4"/>
  <c r="E6" i="4" s="1"/>
  <c r="B35" i="3"/>
  <c r="K25" i="3"/>
  <c r="K26" i="3" s="1"/>
  <c r="E5" i="3"/>
  <c r="E6" i="3" s="1"/>
  <c r="E31" i="2"/>
  <c r="H13" i="2" s="1"/>
  <c r="H14" i="2" s="1"/>
  <c r="C33" i="2"/>
  <c r="F14" i="2" s="1"/>
  <c r="F15" i="2" s="1"/>
  <c r="D11" i="2"/>
  <c r="D12" i="2" s="1"/>
  <c r="B31" i="19"/>
  <c r="E26" i="19"/>
  <c r="E27" i="19" s="1"/>
  <c r="C32" i="4"/>
  <c r="B32" i="4" s="1"/>
  <c r="C33" i="4"/>
  <c r="F14" i="4" s="1"/>
  <c r="F15" i="4" s="1"/>
  <c r="B67" i="5"/>
  <c r="E26" i="5"/>
  <c r="E27" i="5"/>
  <c r="B31" i="5"/>
  <c r="C33" i="3"/>
  <c r="B33" i="3" s="1"/>
  <c r="D42" i="8"/>
  <c r="E6" i="8"/>
  <c r="C33" i="7"/>
  <c r="F14" i="7" s="1"/>
  <c r="J7" i="23"/>
  <c r="B32" i="24"/>
  <c r="C33" i="25"/>
  <c r="B33" i="25" s="1"/>
  <c r="B31" i="25"/>
  <c r="C18" i="22"/>
  <c r="L15" i="22" s="1"/>
  <c r="L16" i="22" s="1"/>
  <c r="C33" i="22"/>
  <c r="J15" i="22" s="1"/>
  <c r="J16" i="22" s="1"/>
  <c r="B31" i="22"/>
  <c r="B57" i="10"/>
  <c r="C19" i="22"/>
  <c r="J7" i="6"/>
  <c r="C33" i="17"/>
  <c r="B33" i="17" s="1"/>
  <c r="F18" i="22"/>
  <c r="F19" i="22" s="1"/>
  <c r="B50" i="6"/>
  <c r="E4" i="6"/>
  <c r="F4" i="6" s="1"/>
  <c r="D11" i="19"/>
  <c r="D12" i="19" s="1"/>
  <c r="F41" i="5"/>
  <c r="G41" i="5" s="1"/>
  <c r="H41" i="5" s="1"/>
  <c r="C33" i="5"/>
  <c r="B68" i="5" s="1"/>
  <c r="C34" i="5"/>
  <c r="G12" i="5" s="1"/>
  <c r="G13" i="5" s="1"/>
  <c r="F43" i="5"/>
  <c r="G43" i="5" s="1"/>
  <c r="H43" i="5" s="1"/>
  <c r="E28" i="17"/>
  <c r="B30" i="17"/>
  <c r="C32" i="17"/>
  <c r="J13" i="17" s="1"/>
  <c r="J14" i="17" s="1"/>
  <c r="B30" i="19"/>
  <c r="C34" i="23"/>
  <c r="F15" i="23" s="1"/>
  <c r="F16" i="23" s="1"/>
  <c r="F42" i="5"/>
  <c r="G42" i="5"/>
  <c r="H42" i="5" s="1"/>
  <c r="D11" i="8"/>
  <c r="D12" i="8" s="1"/>
  <c r="C35" i="5"/>
  <c r="K25" i="5" s="1"/>
  <c r="K26" i="5" s="1"/>
  <c r="A2" i="5"/>
  <c r="D11" i="17"/>
  <c r="D12" i="17" s="1"/>
  <c r="C33" i="10"/>
  <c r="B33" i="10" s="1"/>
  <c r="C34" i="3"/>
  <c r="B34" i="3" s="1"/>
  <c r="D11" i="3"/>
  <c r="D12" i="3" s="1"/>
  <c r="B31" i="3"/>
  <c r="C34" i="8"/>
  <c r="B34" i="8" s="1"/>
  <c r="C40" i="8"/>
  <c r="E40" i="8" s="1"/>
  <c r="C34" i="7"/>
  <c r="K25" i="7" s="1"/>
  <c r="K26" i="7" s="1"/>
  <c r="C32" i="22"/>
  <c r="B32" i="22"/>
  <c r="B34" i="5"/>
  <c r="B32" i="15" l="1"/>
  <c r="F14" i="17"/>
  <c r="F15" i="17" s="1"/>
  <c r="E29" i="5"/>
  <c r="E11" i="5"/>
  <c r="E12" i="5" s="1"/>
  <c r="B33" i="5"/>
  <c r="D14" i="10"/>
  <c r="D15" i="10" s="1"/>
  <c r="D38" i="10"/>
  <c r="C38" i="10" s="1"/>
  <c r="E38" i="10" s="1"/>
  <c r="F38" i="10" s="1"/>
  <c r="D39" i="10"/>
  <c r="C39" i="10" s="1"/>
  <c r="E39" i="10" s="1"/>
  <c r="F39" i="10" s="1"/>
  <c r="E4" i="22"/>
  <c r="F4" i="22" s="1"/>
  <c r="B32" i="25"/>
  <c r="E12" i="10"/>
  <c r="C32" i="2"/>
  <c r="B30" i="2"/>
  <c r="E27" i="20"/>
  <c r="C33" i="23"/>
  <c r="B33" i="23" s="1"/>
  <c r="B34" i="23"/>
  <c r="D11" i="14"/>
  <c r="D12" i="14" s="1"/>
  <c r="D40" i="10"/>
  <c r="C40" i="10" s="1"/>
  <c r="E40" i="10" s="1"/>
  <c r="F40" i="10" s="1"/>
  <c r="C32" i="10"/>
  <c r="B58" i="10" s="1"/>
  <c r="C33" i="20"/>
  <c r="F14" i="20" s="1"/>
  <c r="F15" i="20" s="1"/>
  <c r="C33" i="26"/>
  <c r="B33" i="26" s="1"/>
  <c r="B31" i="20"/>
  <c r="K25" i="20"/>
  <c r="K26" i="20" s="1"/>
  <c r="B32" i="17"/>
  <c r="C34" i="15"/>
  <c r="B30" i="10"/>
  <c r="C36" i="18"/>
  <c r="B36" i="18" s="1"/>
  <c r="C32" i="13"/>
  <c r="E34" i="13" s="1"/>
  <c r="B11" i="7"/>
  <c r="B12" i="7" s="1"/>
  <c r="D11" i="24"/>
  <c r="D12" i="24" s="1"/>
  <c r="B31" i="24"/>
  <c r="E4" i="18"/>
  <c r="F4" i="18" s="1"/>
  <c r="K25" i="2"/>
  <c r="K26" i="2" s="1"/>
  <c r="J13" i="7"/>
  <c r="J14" i="7" s="1"/>
  <c r="J13" i="5"/>
  <c r="J14" i="5" s="1"/>
  <c r="B35" i="5"/>
  <c r="C42" i="8"/>
  <c r="E42" i="8" s="1"/>
  <c r="G42" i="8" s="1"/>
  <c r="D39" i="8"/>
  <c r="G39" i="8" s="1"/>
  <c r="B31" i="17"/>
  <c r="D15" i="23"/>
  <c r="B33" i="22"/>
  <c r="D41" i="8"/>
  <c r="B31" i="15"/>
  <c r="D11" i="4"/>
  <c r="D12" i="4" s="1"/>
  <c r="D11" i="15"/>
  <c r="D12" i="15" s="1"/>
  <c r="B32" i="8"/>
  <c r="B31" i="8"/>
  <c r="C33" i="8"/>
  <c r="B33" i="8" s="1"/>
  <c r="C32" i="20"/>
  <c r="J13" i="20" s="1"/>
  <c r="J14" i="20" s="1"/>
  <c r="C33" i="19"/>
  <c r="F14" i="19" s="1"/>
  <c r="F15" i="19" s="1"/>
  <c r="B30" i="20"/>
  <c r="C32" i="19"/>
  <c r="B31" i="7"/>
  <c r="C32" i="23"/>
  <c r="B32" i="23" s="1"/>
  <c r="B31" i="23"/>
  <c r="C34" i="14"/>
  <c r="F14" i="14" s="1"/>
  <c r="F15" i="14" s="1"/>
  <c r="J13" i="25"/>
  <c r="J14" i="25" s="1"/>
  <c r="B30" i="4"/>
  <c r="C41" i="8"/>
  <c r="E41" i="8" s="1"/>
  <c r="G41" i="8" s="1"/>
  <c r="F44" i="5"/>
  <c r="G44" i="5" s="1"/>
  <c r="H44" i="5" s="1"/>
  <c r="C33" i="15"/>
  <c r="E4" i="23"/>
  <c r="F4" i="23" s="1"/>
  <c r="D11" i="11"/>
  <c r="D12" i="11" s="1"/>
  <c r="C32" i="11"/>
  <c r="B58" i="11" s="1"/>
  <c r="B30" i="11"/>
  <c r="C33" i="11"/>
  <c r="F14" i="11" s="1"/>
  <c r="F15" i="11" s="1"/>
  <c r="C41" i="11"/>
  <c r="D41" i="11" s="1"/>
  <c r="F41" i="11" s="1"/>
  <c r="C40" i="11"/>
  <c r="D40" i="11" s="1"/>
  <c r="E40" i="11" s="1"/>
  <c r="B32" i="14"/>
  <c r="B32" i="2"/>
  <c r="C39" i="11"/>
  <c r="D39" i="11" s="1"/>
  <c r="E39" i="11" s="1"/>
  <c r="C38" i="11"/>
  <c r="D38" i="11" s="1"/>
  <c r="E38" i="11" s="1"/>
  <c r="B33" i="14"/>
  <c r="J13" i="14"/>
  <c r="J14" i="14" s="1"/>
  <c r="B31" i="14"/>
  <c r="D11" i="20"/>
  <c r="D12" i="20" s="1"/>
  <c r="B32" i="3"/>
  <c r="E26" i="4"/>
  <c r="J13" i="4"/>
  <c r="J14" i="4" s="1"/>
  <c r="C33" i="6"/>
  <c r="B33" i="6" s="1"/>
  <c r="E4" i="26"/>
  <c r="F4" i="26" s="1"/>
  <c r="C32" i="26"/>
  <c r="B32" i="26" s="1"/>
  <c r="F42" i="8"/>
  <c r="D40" i="8"/>
  <c r="F14" i="8"/>
  <c r="F15" i="8" s="1"/>
  <c r="B56" i="25"/>
  <c r="E27" i="25"/>
  <c r="F14" i="25"/>
  <c r="F15" i="25" s="1"/>
  <c r="F15" i="7"/>
  <c r="B49" i="7"/>
  <c r="B34" i="7"/>
  <c r="B33" i="7"/>
  <c r="B32" i="10"/>
  <c r="E16" i="10"/>
  <c r="E17" i="10" s="1"/>
  <c r="B31" i="10"/>
  <c r="B34" i="18"/>
  <c r="C19" i="18"/>
  <c r="L17" i="18"/>
  <c r="L18" i="18" s="1"/>
  <c r="B53" i="18"/>
  <c r="B33" i="18"/>
  <c r="C35" i="18"/>
  <c r="B33" i="2"/>
  <c r="B31" i="2"/>
  <c r="E26" i="2"/>
  <c r="E27" i="2" s="1"/>
  <c r="B56" i="2"/>
  <c r="F9" i="2"/>
  <c r="D38" i="2"/>
  <c r="C38" i="2" s="1"/>
  <c r="E38" i="2" s="1"/>
  <c r="F38" i="2" s="1"/>
  <c r="D40" i="2"/>
  <c r="C40" i="2" s="1"/>
  <c r="E40" i="2" s="1"/>
  <c r="F40" i="2" s="1"/>
  <c r="D39" i="2"/>
  <c r="C39" i="2" s="1"/>
  <c r="E39" i="2" s="1"/>
  <c r="F39" i="2" s="1"/>
  <c r="B31" i="11"/>
  <c r="E27" i="13"/>
  <c r="F27" i="13" s="1"/>
  <c r="B51" i="13"/>
  <c r="B31" i="13"/>
  <c r="C33" i="13"/>
  <c r="B33" i="13" s="1"/>
  <c r="C34" i="13"/>
  <c r="B34" i="13" s="1"/>
  <c r="E22" i="13"/>
  <c r="L15" i="13"/>
  <c r="L16" i="13" s="1"/>
  <c r="D15" i="6"/>
  <c r="L15" i="6" s="1"/>
  <c r="L16" i="6" s="1"/>
  <c r="B31" i="6"/>
  <c r="C34" i="6"/>
  <c r="B34" i="26"/>
  <c r="F18" i="26"/>
  <c r="F19" i="26" s="1"/>
  <c r="D15" i="26"/>
  <c r="B31" i="26"/>
  <c r="E27" i="24"/>
  <c r="B56" i="24"/>
  <c r="C34" i="24"/>
  <c r="B33" i="4"/>
  <c r="B33" i="24"/>
  <c r="J13" i="24"/>
  <c r="J14" i="24" s="1"/>
  <c r="B56" i="14"/>
  <c r="E27" i="14"/>
  <c r="J13" i="3"/>
  <c r="J14" i="3" s="1"/>
  <c r="E27" i="3"/>
  <c r="F14" i="3"/>
  <c r="F15" i="3" s="1"/>
  <c r="J13" i="11"/>
  <c r="J14" i="11" s="1"/>
  <c r="B32" i="11"/>
  <c r="B58" i="8" l="1"/>
  <c r="J13" i="10"/>
  <c r="J14" i="10" s="1"/>
  <c r="B33" i="19"/>
  <c r="F39" i="8"/>
  <c r="J15" i="6"/>
  <c r="J16" i="6" s="1"/>
  <c r="F40" i="11"/>
  <c r="B59" i="11"/>
  <c r="B32" i="13"/>
  <c r="J15" i="23"/>
  <c r="J16" i="23" s="1"/>
  <c r="F20" i="18"/>
  <c r="F21" i="18" s="1"/>
  <c r="F39" i="11"/>
  <c r="J15" i="26"/>
  <c r="J16" i="26" s="1"/>
  <c r="B33" i="20"/>
  <c r="F41" i="8"/>
  <c r="B34" i="15"/>
  <c r="F14" i="15"/>
  <c r="F15" i="15" s="1"/>
  <c r="B34" i="14"/>
  <c r="J13" i="2"/>
  <c r="J14" i="2" s="1"/>
  <c r="B51" i="19"/>
  <c r="J13" i="19"/>
  <c r="J14" i="19" s="1"/>
  <c r="B32" i="19"/>
  <c r="B57" i="2"/>
  <c r="J13" i="8"/>
  <c r="J14" i="8" s="1"/>
  <c r="B33" i="15"/>
  <c r="J13" i="15"/>
  <c r="J14" i="15" s="1"/>
  <c r="D16" i="23"/>
  <c r="L15" i="23"/>
  <c r="L16" i="23" s="1"/>
  <c r="B32" i="20"/>
  <c r="E41" i="11"/>
  <c r="B33" i="11"/>
  <c r="F38" i="11"/>
  <c r="B52" i="4"/>
  <c r="E27" i="4"/>
  <c r="G40" i="8"/>
  <c r="F40" i="8"/>
  <c r="B35" i="18"/>
  <c r="J17" i="18"/>
  <c r="J18" i="18" s="1"/>
  <c r="J15" i="13"/>
  <c r="J16" i="13" s="1"/>
  <c r="G17" i="13"/>
  <c r="G18" i="13" s="1"/>
  <c r="D16" i="6"/>
  <c r="B34" i="6"/>
  <c r="F18" i="6"/>
  <c r="F19" i="6" s="1"/>
  <c r="L15" i="26"/>
  <c r="L16" i="26" s="1"/>
  <c r="D16" i="26"/>
  <c r="B34" i="24"/>
  <c r="F14" i="24"/>
  <c r="F15" i="24" s="1"/>
</calcChain>
</file>

<file path=xl/sharedStrings.xml><?xml version="1.0" encoding="utf-8"?>
<sst xmlns="http://schemas.openxmlformats.org/spreadsheetml/2006/main" count="977" uniqueCount="166">
  <si>
    <t>1.  Select the screen type (tab) located in the table at the bottom of the window</t>
  </si>
  <si>
    <t>You can select any size and AR up to a maximum image width for each screen</t>
  </si>
  <si>
    <t>Tool will display the overall dimensions and available screen materials for the size</t>
  </si>
  <si>
    <t>Tip: You can include the PDF print copy of your dimension to your order!</t>
  </si>
  <si>
    <t>SLIM Fixed Screen</t>
  </si>
  <si>
    <t>Inches</t>
  </si>
  <si>
    <t>mm</t>
  </si>
  <si>
    <t>Fabric</t>
  </si>
  <si>
    <t>Date:</t>
  </si>
  <si>
    <t>Image W</t>
  </si>
  <si>
    <t>Native AR</t>
  </si>
  <si>
    <t>Customer:</t>
  </si>
  <si>
    <t>Image H</t>
  </si>
  <si>
    <t>Closed AR</t>
  </si>
  <si>
    <t>NA</t>
  </si>
  <si>
    <t>Sign off:</t>
  </si>
  <si>
    <t>Ext W</t>
  </si>
  <si>
    <t>Close W</t>
  </si>
  <si>
    <t>Notes:</t>
  </si>
  <si>
    <t>Ext H</t>
  </si>
  <si>
    <t>Voltage</t>
  </si>
  <si>
    <t>Diagonal</t>
  </si>
  <si>
    <t>Frame W</t>
  </si>
  <si>
    <t>Depth</t>
  </si>
  <si>
    <t>mm to Inch</t>
  </si>
  <si>
    <t>Drawing Not to Scale</t>
  </si>
  <si>
    <t>Max standard Image width</t>
  </si>
  <si>
    <t xml:space="preserve">AR </t>
  </si>
  <si>
    <t>HD</t>
  </si>
  <si>
    <t>1.78</t>
  </si>
  <si>
    <t>WS</t>
  </si>
  <si>
    <t xml:space="preserve"> 2.35 - 2.40</t>
  </si>
  <si>
    <t>For larger sizes, please contact sales@screenexcellence.com</t>
  </si>
  <si>
    <t>Bracket Locations</t>
  </si>
  <si>
    <t>There are 2 brackets on the top and NONE on the bottom of the screen.</t>
  </si>
  <si>
    <t>The top Brackets are Z brackets that are movable to suit. Generally they are 10 Cm in from the side</t>
  </si>
  <si>
    <t>There are no bottom brackets provided as standard.</t>
  </si>
  <si>
    <t>The screen is hanging from the 2 top brackets and resting against a rubber stop at the bottom</t>
  </si>
  <si>
    <t xml:space="preserve">Estimated Shipping Sizes &amp; Weights </t>
  </si>
  <si>
    <t>SLIM Fixed screen ships in 1 box for ease of installation and delivery.</t>
  </si>
  <si>
    <t>The screen is shipped in various parts</t>
  </si>
  <si>
    <t>Length</t>
  </si>
  <si>
    <t>Height</t>
  </si>
  <si>
    <t>Width</t>
  </si>
  <si>
    <t>Contrast Fixed Frame Screen</t>
  </si>
  <si>
    <t>Please see below</t>
  </si>
  <si>
    <t>Picture Not to Scale</t>
  </si>
  <si>
    <t>Surface</t>
  </si>
  <si>
    <t>AV Black  &amp; Silver</t>
  </si>
  <si>
    <t>2.35-2.40</t>
  </si>
  <si>
    <t>Enlightor NEO-S</t>
  </si>
  <si>
    <t>There are 2 brackets on top of the screen.</t>
  </si>
  <si>
    <t>The top Brackets are Z brackets that are movable to suit. Generally they are 19.5 Cm in from the side</t>
  </si>
  <si>
    <t>Reference Fixed screen normally ships in 1 box for ease of installation and delivery.</t>
  </si>
  <si>
    <t>Reference Fixed Screen</t>
  </si>
  <si>
    <t>There are 2 brackets on the top and 2 on the bottom of the screen.</t>
  </si>
  <si>
    <t>The bottom brackets are Snap In brackes that are movable, generally 19.5Cm from the side</t>
  </si>
  <si>
    <t>If the Screen is greater than 160" then there are 2 additional brackets / top and bottom.</t>
  </si>
  <si>
    <t>Vista Curve, Curved Fixed Screen</t>
  </si>
  <si>
    <t>Not to Scale</t>
  </si>
  <si>
    <t>There are 2 brackets on the top and bottom of the screen.</t>
  </si>
  <si>
    <t>Shipping Sizes &amp; Weights (Estimated)</t>
  </si>
  <si>
    <t>Vista Curve screen normally ships in 1 box for ease of installation and delivery.</t>
  </si>
  <si>
    <t>The estimated size Crate for this screen is: (only accurate for sizes up to  160")</t>
  </si>
  <si>
    <t>Platform Size</t>
  </si>
  <si>
    <t xml:space="preserve">Size </t>
  </si>
  <si>
    <t>Depth (mm)</t>
  </si>
  <si>
    <t>Radius (mm)</t>
  </si>
  <si>
    <t xml:space="preserve">Retractable Solid Tensioned Screen </t>
  </si>
  <si>
    <t>Enlightor S</t>
  </si>
  <si>
    <t>Case</t>
  </si>
  <si>
    <t>B. Drop (mm)</t>
  </si>
  <si>
    <t>240v</t>
  </si>
  <si>
    <t>Batten (mm)</t>
  </si>
  <si>
    <t>Standard Black Drop 500mm</t>
  </si>
  <si>
    <t xml:space="preserve">There is a pair of wall/ceiling compatible brackets supplied with  the screen. </t>
  </si>
  <si>
    <t>They are to be placed near the case ends</t>
  </si>
  <si>
    <t>RST screen ships in 1 box for ease of installation and delivery.</t>
  </si>
  <si>
    <t>The estimated size carton for this screen is:</t>
  </si>
  <si>
    <t xml:space="preserve">In Ceiling Retractable Solid Tensioned Screen </t>
  </si>
  <si>
    <t>In Ceiling installation only</t>
  </si>
  <si>
    <t>In Ceiling Retractable Solid Tensioned Screen Case</t>
  </si>
  <si>
    <t xml:space="preserve">Retractable Motorised AT Screen </t>
  </si>
  <si>
    <t>Wall mounted</t>
  </si>
  <si>
    <t>There is one  wall or ceiling (to be specified) DIN fixing rail supplied with  the screen.</t>
  </si>
  <si>
    <t>RM2-T screen ships in 1 box for ease of installation and delivery.</t>
  </si>
  <si>
    <t>True Aspect Masking Screen -1</t>
  </si>
  <si>
    <t>See Below</t>
  </si>
  <si>
    <t>Closed H</t>
  </si>
  <si>
    <t>Standard Aspect Ratios</t>
  </si>
  <si>
    <t>AR</t>
  </si>
  <si>
    <t>View H</t>
  </si>
  <si>
    <t>View W</t>
  </si>
  <si>
    <t>Mask Size</t>
  </si>
  <si>
    <t>Percentage</t>
  </si>
  <si>
    <t>There are 2wall fixing brackets on each side of the screen.</t>
  </si>
  <si>
    <t>The screen is shipped in two parts, top and bottom</t>
  </si>
  <si>
    <t>True Aspect Masking Screen TB</t>
  </si>
  <si>
    <t>Screen can store up to 99 masking positions</t>
  </si>
  <si>
    <t>There is 2 wall fixing brackets on each side of the screen.</t>
  </si>
  <si>
    <t xml:space="preserve">True Aspect Masking Screen - LR </t>
  </si>
  <si>
    <t>Closed W</t>
  </si>
  <si>
    <t>2.35 - 2.40</t>
  </si>
  <si>
    <t>There are 2 wall fixing brackets on each side of the screen.</t>
  </si>
  <si>
    <r>
      <t xml:space="preserve">TAM 2LR screen normally ships in </t>
    </r>
    <r>
      <rPr>
        <b/>
        <sz val="12"/>
        <color theme="1"/>
        <rFont val="Lato Regular"/>
      </rPr>
      <t>2 Crates</t>
    </r>
    <r>
      <rPr>
        <sz val="12"/>
        <color theme="1"/>
        <rFont val="Lato Regular"/>
      </rPr>
      <t xml:space="preserve"> for ease of installation and delivery.</t>
    </r>
  </si>
  <si>
    <t>The screen is separated into a Left and Right part that are rejoined at installation</t>
  </si>
  <si>
    <t>The estimated size for each Crate for this screen is: (only accurate for sizes up to  160")</t>
  </si>
  <si>
    <t>True Aspect Masking Screen FC</t>
  </si>
  <si>
    <t>0.00</t>
  </si>
  <si>
    <t>Adjusted W</t>
  </si>
  <si>
    <t>Estimated Shipping Sizes &amp; Weights</t>
  </si>
  <si>
    <t>TAM 2LR screen normally ships in 2 Crates for ease of installation and delivery.</t>
  </si>
  <si>
    <t xml:space="preserve">Absolute Masking Curved Screen LR </t>
  </si>
  <si>
    <t>Size</t>
  </si>
  <si>
    <t>Mask Width</t>
  </si>
  <si>
    <t>There are 2 brackets on the top and bottom of the screen. They are attached to the platform in differing postions based upon the radius of the curve.</t>
  </si>
  <si>
    <t>Absolute screen normally ships in 2 Crates for ease of installation and delivery.</t>
  </si>
  <si>
    <t>The screen is shipped in two parts, left and right</t>
  </si>
  <si>
    <t>4 way True Aspect Masking Screen</t>
  </si>
  <si>
    <t>1.78 - 2.40</t>
  </si>
  <si>
    <t>For true constant area, we specify 2.07 native AR, but we can do 2.0, 1.78 or 2.40 or any other AR as specified by the customer</t>
  </si>
  <si>
    <t xml:space="preserve"> TAM 4 screen normally ships in 1 Crate for ease of installation and delivery.</t>
  </si>
  <si>
    <t>The screen is shipped in various parts and requires assembly</t>
  </si>
  <si>
    <t>Movie Partner Bordered Fixed Frame Screen</t>
  </si>
  <si>
    <t>Movie Partner borderless Fixed Screen</t>
  </si>
  <si>
    <t>Case Colour White or Black</t>
  </si>
  <si>
    <t>FullScreen Fixed Frame Borderless Screen</t>
  </si>
  <si>
    <t xml:space="preserve">AV Grey </t>
  </si>
  <si>
    <t>TAM -1 screen normally ships in 1 Crate for ease of installation and delivery.</t>
  </si>
  <si>
    <t>Movie Partner Fixed screen ships in 2 or more boxes for ease of installation and delivery.</t>
  </si>
  <si>
    <t xml:space="preserve">Multi Format Retractable Motorised AT Screen </t>
  </si>
  <si>
    <t>Ceiling mounted</t>
  </si>
  <si>
    <t>With Native WS, masking reduces the width to HD</t>
  </si>
  <si>
    <t>With Native HD, masking reduces the height to WS</t>
  </si>
  <si>
    <t>Max standard Native Image width</t>
  </si>
  <si>
    <t>There are 2  ceiling DIN fixing rails supplied with  the screen.</t>
  </si>
  <si>
    <t>MFR screen ships in 1 box for ease of installation and delivery.</t>
  </si>
  <si>
    <t>Reference Advanced Fixed screen normally ships in 1 box for ease of installation and delivery.</t>
  </si>
  <si>
    <t>Reference Advanced Fixed Screen</t>
  </si>
  <si>
    <t>Contrast Advanced Fixed Frame Screen</t>
  </si>
  <si>
    <t xml:space="preserve">MediaTime Retractable Motorised AT Screen </t>
  </si>
  <si>
    <t>Enlightor NEO</t>
  </si>
  <si>
    <t>Case Colour White</t>
  </si>
  <si>
    <t xml:space="preserve"> TAM 2TB screen normally ships in 1 Crate.</t>
  </si>
  <si>
    <t>The estimated size Crate for this screen is:</t>
  </si>
  <si>
    <t>Motor is on the Left Hand Side</t>
  </si>
  <si>
    <t xml:space="preserve">There are 2 Z-Brackets at each end behind the case (adds 5mm to the thickness). </t>
  </si>
  <si>
    <t>Bottom brackets provided as standard for sizes above 140"base width</t>
  </si>
  <si>
    <t>Contrast Advanced Fixed screen normally ships in 1 box for ease of installation and delivery.</t>
  </si>
  <si>
    <t>Contrast Fixed screen normally ships in 1 box for ease of installation and delivery.</t>
  </si>
  <si>
    <t>Wall / celing mounted</t>
  </si>
  <si>
    <t>1000mm Black drop</t>
  </si>
  <si>
    <t>Motor is located on the right hand side</t>
  </si>
  <si>
    <t>Installation with Z-Brackets requires min 30mm clearance above the screen.</t>
  </si>
  <si>
    <t>FC</t>
  </si>
  <si>
    <r>
      <t>2.  Enter the desired native image width in millimeters (</t>
    </r>
    <r>
      <rPr>
        <b/>
        <sz val="16"/>
        <color theme="4"/>
        <rFont val="Lato Regular"/>
      </rPr>
      <t>Image W</t>
    </r>
    <r>
      <rPr>
        <sz val="16"/>
        <color theme="1"/>
        <rFont val="Lato Regular"/>
      </rPr>
      <t>)</t>
    </r>
  </si>
  <si>
    <r>
      <t>3.  Enter in the desired native aspect ratio (</t>
    </r>
    <r>
      <rPr>
        <b/>
        <sz val="16"/>
        <color theme="4"/>
        <rFont val="Lato Regular"/>
      </rPr>
      <t>Native AR</t>
    </r>
    <r>
      <rPr>
        <sz val="16"/>
        <color theme="1"/>
        <rFont val="Lato Regular"/>
      </rPr>
      <t>)</t>
    </r>
  </si>
  <si>
    <r>
      <t xml:space="preserve">If you need even larger screen or have any questions, please contact </t>
    </r>
    <r>
      <rPr>
        <i/>
        <sz val="14"/>
        <color theme="1"/>
        <rFont val="Lato Regular"/>
      </rPr>
      <t>sales@screenexcellence.com</t>
    </r>
  </si>
  <si>
    <t>Enlightor NEO W</t>
  </si>
  <si>
    <t>Max Image width</t>
  </si>
  <si>
    <t>There are 2-4 brackets on the top and on the bottom of the screen.</t>
  </si>
  <si>
    <t>Applicable up 160"wide view, larger screens will need 2 crates and sizes can vary.</t>
  </si>
  <si>
    <t>FullScreen Fixed screen ships in 1 box for ease of installation and delivery.</t>
  </si>
  <si>
    <t>Dimension Tool</t>
  </si>
  <si>
    <t>TBC</t>
  </si>
  <si>
    <t>Curved option will have variable depth depending on the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</si>
</sst>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[$-F800]dddd\,\ mmmm\ dd\,\ yyyy"/>
    <numFmt numFmtId="166" formatCode="0.0"/>
    <numFmt numFmtId="167" formatCode="#,##0_ ;\-#,##0\ "/>
    <numFmt numFmtId="168" formatCode="_-* #,##0_-;\-* #,##0_-;_-* &quot;-&quot;??_-;_-@_-"/>
  </numFmts>
  <fonts count="50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129"/>
      <scheme val="minor"/>
    </font>
    <font>
      <sz val="12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u/>
      <sz val="12"/>
      <color theme="10"/>
      <name val="Calibri"/>
      <family val="2"/>
      <charset val="129"/>
      <scheme val="minor"/>
    </font>
    <font>
      <u/>
      <sz val="12"/>
      <color theme="11"/>
      <name val="Calibri"/>
      <family val="2"/>
      <charset val="129"/>
      <scheme val="minor"/>
    </font>
    <font>
      <b/>
      <sz val="20"/>
      <color theme="1"/>
      <name val="Lato Regular"/>
    </font>
    <font>
      <sz val="12"/>
      <color theme="1"/>
      <name val="Lato Regular"/>
    </font>
    <font>
      <sz val="20"/>
      <color theme="1"/>
      <name val="Lato Regular"/>
    </font>
    <font>
      <b/>
      <sz val="12"/>
      <color theme="1"/>
      <name val="Lato Regular"/>
    </font>
    <font>
      <b/>
      <sz val="12"/>
      <color theme="4"/>
      <name val="Lato Regular"/>
    </font>
    <font>
      <b/>
      <sz val="12"/>
      <color theme="3" tint="0.39997558519241921"/>
      <name val="Lato Regular"/>
    </font>
    <font>
      <b/>
      <sz val="12"/>
      <name val="Lato Regular"/>
    </font>
    <font>
      <sz val="12"/>
      <name val="Lato Regular"/>
    </font>
    <font>
      <b/>
      <u/>
      <sz val="12"/>
      <color theme="1"/>
      <name val="Lato Regular"/>
    </font>
    <font>
      <sz val="12"/>
      <color rgb="FFFF0000"/>
      <name val="Lato Regular"/>
    </font>
    <font>
      <sz val="12"/>
      <color theme="4"/>
      <name val="Lato Regular"/>
    </font>
    <font>
      <sz val="12"/>
      <color rgb="FF000000"/>
      <name val="Lato Regular"/>
    </font>
    <font>
      <b/>
      <sz val="16"/>
      <color theme="1"/>
      <name val="Lato Regular"/>
    </font>
    <font>
      <sz val="16"/>
      <color theme="1"/>
      <name val="Lato Regular"/>
    </font>
    <font>
      <sz val="12"/>
      <color theme="5" tint="-0.249977111117893"/>
      <name val="Lato Regular"/>
    </font>
    <font>
      <sz val="9"/>
      <color theme="1"/>
      <name val="Lato Regular"/>
    </font>
    <font>
      <b/>
      <u/>
      <sz val="12"/>
      <color rgb="FF000000"/>
      <name val="Lato Regular"/>
    </font>
    <font>
      <sz val="14"/>
      <color rgb="FF0433FF"/>
      <name val="Tahoma"/>
      <family val="2"/>
    </font>
    <font>
      <sz val="14"/>
      <color rgb="FF0433FF"/>
      <name val="Times"/>
      <family val="1"/>
    </font>
    <font>
      <sz val="10"/>
      <color theme="1"/>
      <name val="Lato Regular"/>
    </font>
    <font>
      <b/>
      <sz val="20"/>
      <color theme="1"/>
      <name val="Lato Regular"/>
    </font>
    <font>
      <sz val="12"/>
      <color theme="1"/>
      <name val="Lato Regular"/>
    </font>
    <font>
      <b/>
      <sz val="16"/>
      <color theme="1"/>
      <name val="Lato Regular"/>
    </font>
    <font>
      <sz val="20"/>
      <color theme="1"/>
      <name val="Lato Regular"/>
    </font>
    <font>
      <b/>
      <sz val="12"/>
      <color theme="1"/>
      <name val="Lato Regular"/>
    </font>
    <font>
      <b/>
      <sz val="12"/>
      <name val="Lato Regular"/>
    </font>
    <font>
      <b/>
      <sz val="12"/>
      <color theme="4"/>
      <name val="Lato Regular"/>
    </font>
    <font>
      <b/>
      <sz val="12"/>
      <color theme="3" tint="0.39997558519241921"/>
      <name val="Lato Regular"/>
    </font>
    <font>
      <sz val="9"/>
      <color theme="1"/>
      <name val="Lato Regular"/>
    </font>
    <font>
      <sz val="12"/>
      <name val="Lato Regular"/>
    </font>
    <font>
      <b/>
      <u/>
      <sz val="12"/>
      <color theme="1"/>
      <name val="Lato Regular"/>
    </font>
    <font>
      <sz val="12"/>
      <color rgb="FF000000"/>
      <name val="Lato Regular"/>
    </font>
    <font>
      <b/>
      <sz val="12"/>
      <color rgb="FF000000"/>
      <name val="Lato Regular"/>
    </font>
    <font>
      <sz val="12"/>
      <color theme="2" tint="-0.499984740745262"/>
      <name val="Lato Regular"/>
    </font>
    <font>
      <sz val="12"/>
      <color theme="9" tint="-0.249977111117893"/>
      <name val="Lato Regular"/>
    </font>
    <font>
      <b/>
      <sz val="12"/>
      <color theme="0"/>
      <name val="Lato Regular"/>
    </font>
    <font>
      <sz val="12"/>
      <color theme="9" tint="-0.499984740745262"/>
      <name val="Lato Regular"/>
    </font>
    <font>
      <sz val="11"/>
      <color theme="1"/>
      <name val="Lato Regular"/>
    </font>
    <font>
      <sz val="12"/>
      <color theme="0"/>
      <name val="Lato Regular"/>
    </font>
    <font>
      <b/>
      <u/>
      <sz val="18"/>
      <color theme="1"/>
      <name val="Lato Regular"/>
    </font>
    <font>
      <b/>
      <sz val="16"/>
      <color theme="4"/>
      <name val="Lato Regular"/>
    </font>
    <font>
      <sz val="14"/>
      <color theme="1"/>
      <name val="Lato Regular"/>
    </font>
    <font>
      <i/>
      <sz val="14"/>
      <color theme="1"/>
      <name val="Lato Regular"/>
    </font>
  </fonts>
  <fills count="9">
    <fill>
      <patternFill patternType="none"/>
    </fill>
    <fill>
      <patternFill patternType="gray125"/>
    </fill>
    <fill>
      <patternFill patternType="gray125">
        <bgColor theme="0" tint="-0.249977111117893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darkTrellis">
        <fgColor theme="1"/>
      </patternFill>
    </fill>
    <fill>
      <patternFill patternType="darkGray">
        <fgColor theme="1"/>
      </patternFill>
    </fill>
    <fill>
      <patternFill patternType="solid">
        <fgColor theme="1"/>
        <bgColor theme="1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72">
    <xf numFmtId="0" fontId="0" fillId="0" borderId="0"/>
    <xf numFmtId="164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94">
    <xf numFmtId="0" fontId="0" fillId="0" borderId="0" xfId="0"/>
    <xf numFmtId="0" fontId="8" fillId="0" borderId="0" xfId="0" applyFont="1"/>
    <xf numFmtId="0" fontId="9" fillId="0" borderId="0" xfId="0" applyFont="1"/>
    <xf numFmtId="0" fontId="8" fillId="0" borderId="0" xfId="0" applyFont="1" applyBorder="1"/>
    <xf numFmtId="12" fontId="8" fillId="0" borderId="0" xfId="0" applyNumberFormat="1" applyFont="1" applyAlignment="1"/>
    <xf numFmtId="0" fontId="8" fillId="3" borderId="0" xfId="0" applyFont="1" applyFill="1" applyBorder="1"/>
    <xf numFmtId="1" fontId="10" fillId="0" borderId="0" xfId="0" applyNumberFormat="1" applyFont="1" applyBorder="1" applyAlignment="1">
      <alignment horizontal="right"/>
    </xf>
    <xf numFmtId="2" fontId="10" fillId="0" borderId="0" xfId="0" applyNumberFormat="1" applyFont="1" applyBorder="1"/>
    <xf numFmtId="12" fontId="8" fillId="0" borderId="0" xfId="0" applyNumberFormat="1" applyFont="1"/>
    <xf numFmtId="0" fontId="8" fillId="0" borderId="5" xfId="0" applyFont="1" applyBorder="1"/>
    <xf numFmtId="0" fontId="10" fillId="0" borderId="6" xfId="0" applyFont="1" applyBorder="1" applyAlignment="1">
      <alignment horizontal="center"/>
    </xf>
    <xf numFmtId="164" fontId="10" fillId="0" borderId="6" xfId="1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10" fillId="0" borderId="7" xfId="0" applyFont="1" applyBorder="1" applyAlignment="1">
      <alignment horizontal="right"/>
    </xf>
    <xf numFmtId="12" fontId="8" fillId="0" borderId="4" xfId="0" applyNumberFormat="1" applyFont="1" applyBorder="1" applyAlignment="1">
      <alignment horizontal="center"/>
    </xf>
    <xf numFmtId="1" fontId="12" fillId="0" borderId="4" xfId="1" applyNumberFormat="1" applyFont="1" applyBorder="1" applyAlignment="1">
      <alignment horizontal="center"/>
    </xf>
    <xf numFmtId="0" fontId="10" fillId="0" borderId="4" xfId="0" applyFont="1" applyBorder="1" applyAlignment="1">
      <alignment horizontal="right"/>
    </xf>
    <xf numFmtId="1" fontId="13" fillId="0" borderId="4" xfId="1" applyNumberFormat="1" applyFont="1" applyBorder="1" applyAlignment="1">
      <alignment horizontal="center"/>
    </xf>
    <xf numFmtId="1" fontId="10" fillId="0" borderId="4" xfId="1" applyNumberFormat="1" applyFont="1" applyBorder="1" applyAlignment="1">
      <alignment horizontal="center"/>
    </xf>
    <xf numFmtId="2" fontId="8" fillId="0" borderId="4" xfId="1" applyNumberFormat="1" applyFont="1" applyBorder="1" applyAlignment="1">
      <alignment horizontal="center"/>
    </xf>
    <xf numFmtId="0" fontId="8" fillId="0" borderId="0" xfId="0" applyFont="1" applyFill="1" applyBorder="1"/>
    <xf numFmtId="0" fontId="8" fillId="0" borderId="1" xfId="0" applyFont="1" applyBorder="1"/>
    <xf numFmtId="0" fontId="10" fillId="0" borderId="4" xfId="0" applyFont="1" applyFill="1" applyBorder="1" applyAlignment="1">
      <alignment horizontal="right"/>
    </xf>
    <xf numFmtId="164" fontId="14" fillId="0" borderId="4" xfId="1" applyFont="1" applyBorder="1" applyAlignment="1">
      <alignment horizontal="center"/>
    </xf>
    <xf numFmtId="0" fontId="8" fillId="0" borderId="16" xfId="0" applyFont="1" applyBorder="1" applyAlignment="1"/>
    <xf numFmtId="0" fontId="8" fillId="0" borderId="0" xfId="0" applyFont="1" applyBorder="1" applyAlignment="1"/>
    <xf numFmtId="0" fontId="8" fillId="0" borderId="1" xfId="0" applyFont="1" applyBorder="1" applyAlignment="1"/>
    <xf numFmtId="2" fontId="14" fillId="0" borderId="4" xfId="1" applyNumberFormat="1" applyFont="1" applyBorder="1" applyAlignment="1">
      <alignment horizontal="center"/>
    </xf>
    <xf numFmtId="0" fontId="10" fillId="0" borderId="8" xfId="0" applyFont="1" applyBorder="1" applyAlignment="1">
      <alignment horizontal="right"/>
    </xf>
    <xf numFmtId="12" fontId="8" fillId="0" borderId="9" xfId="0" applyNumberFormat="1" applyFont="1" applyBorder="1" applyAlignment="1">
      <alignment horizontal="center"/>
    </xf>
    <xf numFmtId="166" fontId="13" fillId="0" borderId="9" xfId="1" applyNumberFormat="1" applyFont="1" applyBorder="1" applyAlignment="1">
      <alignment horizontal="center"/>
    </xf>
    <xf numFmtId="0" fontId="10" fillId="0" borderId="9" xfId="0" applyFont="1" applyBorder="1" applyAlignment="1">
      <alignment horizontal="right"/>
    </xf>
    <xf numFmtId="2" fontId="8" fillId="0" borderId="9" xfId="1" applyNumberFormat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 applyAlignment="1">
      <alignment horizontal="right"/>
    </xf>
    <xf numFmtId="0" fontId="8" fillId="0" borderId="0" xfId="0" applyFont="1" applyAlignment="1"/>
    <xf numFmtId="0" fontId="8" fillId="0" borderId="0" xfId="1" applyNumberFormat="1" applyFont="1"/>
    <xf numFmtId="164" fontId="8" fillId="0" borderId="0" xfId="1" applyFont="1"/>
    <xf numFmtId="166" fontId="8" fillId="0" borderId="0" xfId="0" applyNumberFormat="1" applyFont="1"/>
    <xf numFmtId="166" fontId="9" fillId="0" borderId="0" xfId="0" applyNumberFormat="1" applyFont="1"/>
    <xf numFmtId="166" fontId="8" fillId="0" borderId="0" xfId="0" applyNumberFormat="1" applyFont="1" applyBorder="1"/>
    <xf numFmtId="166" fontId="8" fillId="3" borderId="0" xfId="0" applyNumberFormat="1" applyFont="1" applyFill="1" applyBorder="1"/>
    <xf numFmtId="12" fontId="8" fillId="0" borderId="0" xfId="0" applyNumberFormat="1" applyFont="1" applyAlignment="1">
      <alignment horizontal="right"/>
    </xf>
    <xf numFmtId="166" fontId="10" fillId="0" borderId="0" xfId="0" applyNumberFormat="1" applyFont="1" applyBorder="1"/>
    <xf numFmtId="166" fontId="8" fillId="0" borderId="5" xfId="0" applyNumberFormat="1" applyFont="1" applyBorder="1"/>
    <xf numFmtId="166" fontId="10" fillId="0" borderId="6" xfId="0" applyNumberFormat="1" applyFont="1" applyBorder="1" applyAlignment="1">
      <alignment horizontal="center"/>
    </xf>
    <xf numFmtId="166" fontId="10" fillId="0" borderId="6" xfId="1" applyNumberFormat="1" applyFont="1" applyBorder="1" applyAlignment="1">
      <alignment horizontal="center"/>
    </xf>
    <xf numFmtId="166" fontId="10" fillId="0" borderId="6" xfId="0" applyNumberFormat="1" applyFont="1" applyBorder="1" applyAlignment="1">
      <alignment horizontal="right"/>
    </xf>
    <xf numFmtId="166" fontId="10" fillId="0" borderId="7" xfId="0" applyNumberFormat="1" applyFont="1" applyBorder="1" applyAlignment="1">
      <alignment horizontal="right"/>
    </xf>
    <xf numFmtId="12" fontId="8" fillId="0" borderId="4" xfId="0" applyNumberFormat="1" applyFont="1" applyBorder="1" applyAlignment="1">
      <alignment horizontal="left" indent="1"/>
    </xf>
    <xf numFmtId="166" fontId="10" fillId="0" borderId="4" xfId="0" applyNumberFormat="1" applyFont="1" applyBorder="1" applyAlignment="1">
      <alignment horizontal="left" indent="1"/>
    </xf>
    <xf numFmtId="166" fontId="10" fillId="0" borderId="4" xfId="0" applyNumberFormat="1" applyFont="1" applyBorder="1" applyAlignment="1">
      <alignment horizontal="right"/>
    </xf>
    <xf numFmtId="1" fontId="14" fillId="0" borderId="4" xfId="1" applyNumberFormat="1" applyFont="1" applyBorder="1" applyAlignment="1">
      <alignment horizontal="center"/>
    </xf>
    <xf numFmtId="1" fontId="8" fillId="0" borderId="4" xfId="1" applyNumberFormat="1" applyFont="1" applyBorder="1" applyAlignment="1">
      <alignment horizontal="center"/>
    </xf>
    <xf numFmtId="166" fontId="8" fillId="0" borderId="4" xfId="1" applyNumberFormat="1" applyFont="1" applyBorder="1" applyAlignment="1">
      <alignment horizontal="center"/>
    </xf>
    <xf numFmtId="166" fontId="8" fillId="0" borderId="0" xfId="0" applyNumberFormat="1" applyFont="1" applyFill="1" applyBorder="1"/>
    <xf numFmtId="166" fontId="8" fillId="0" borderId="1" xfId="0" applyNumberFormat="1" applyFont="1" applyBorder="1" applyAlignment="1">
      <alignment horizontal="right"/>
    </xf>
    <xf numFmtId="166" fontId="10" fillId="0" borderId="4" xfId="0" applyNumberFormat="1" applyFont="1" applyFill="1" applyBorder="1" applyAlignment="1">
      <alignment horizontal="right"/>
    </xf>
    <xf numFmtId="166" fontId="14" fillId="0" borderId="4" xfId="1" applyNumberFormat="1" applyFont="1" applyBorder="1" applyAlignment="1">
      <alignment horizontal="center"/>
    </xf>
    <xf numFmtId="166" fontId="10" fillId="0" borderId="8" xfId="0" applyNumberFormat="1" applyFont="1" applyBorder="1" applyAlignment="1">
      <alignment horizontal="right"/>
    </xf>
    <xf numFmtId="12" fontId="8" fillId="0" borderId="9" xfId="0" applyNumberFormat="1" applyFont="1" applyBorder="1" applyAlignment="1">
      <alignment horizontal="left" indent="1"/>
    </xf>
    <xf numFmtId="1" fontId="14" fillId="0" borderId="9" xfId="1" applyNumberFormat="1" applyFont="1" applyBorder="1" applyAlignment="1">
      <alignment horizontal="center"/>
    </xf>
    <xf numFmtId="166" fontId="10" fillId="0" borderId="9" xfId="0" applyNumberFormat="1" applyFont="1" applyBorder="1" applyAlignment="1">
      <alignment horizontal="right"/>
    </xf>
    <xf numFmtId="166" fontId="8" fillId="0" borderId="9" xfId="1" applyNumberFormat="1" applyFont="1" applyBorder="1" applyAlignment="1">
      <alignment horizontal="center"/>
    </xf>
    <xf numFmtId="166" fontId="8" fillId="0" borderId="0" xfId="0" applyNumberFormat="1" applyFont="1" applyAlignment="1"/>
    <xf numFmtId="1" fontId="8" fillId="0" borderId="0" xfId="1" applyNumberFormat="1" applyFont="1"/>
    <xf numFmtId="166" fontId="16" fillId="0" borderId="0" xfId="1" applyNumberFormat="1" applyFont="1"/>
    <xf numFmtId="166" fontId="16" fillId="0" borderId="0" xfId="0" applyNumberFormat="1" applyFont="1"/>
    <xf numFmtId="166" fontId="10" fillId="0" borderId="4" xfId="0" applyNumberFormat="1" applyFont="1" applyBorder="1" applyAlignment="1">
      <alignment horizontal="right" vertical="center"/>
    </xf>
    <xf numFmtId="166" fontId="10" fillId="0" borderId="4" xfId="0" applyNumberFormat="1" applyFont="1" applyFill="1" applyBorder="1" applyAlignment="1">
      <alignment horizontal="right" vertical="center"/>
    </xf>
    <xf numFmtId="166" fontId="10" fillId="0" borderId="9" xfId="0" applyNumberFormat="1" applyFont="1" applyBorder="1" applyAlignment="1">
      <alignment horizontal="right" vertical="center"/>
    </xf>
    <xf numFmtId="3" fontId="10" fillId="0" borderId="0" xfId="0" applyNumberFormat="1" applyFont="1" applyBorder="1" applyAlignment="1">
      <alignment horizontal="center"/>
    </xf>
    <xf numFmtId="0" fontId="8" fillId="0" borderId="3" xfId="0" applyFont="1" applyBorder="1" applyAlignment="1"/>
    <xf numFmtId="168" fontId="8" fillId="0" borderId="0" xfId="1" applyNumberFormat="1" applyFont="1"/>
    <xf numFmtId="1" fontId="13" fillId="0" borderId="9" xfId="1" applyNumberFormat="1" applyFont="1" applyBorder="1" applyAlignment="1">
      <alignment horizontal="center"/>
    </xf>
    <xf numFmtId="0" fontId="8" fillId="2" borderId="0" xfId="0" applyFont="1" applyFill="1" applyBorder="1"/>
    <xf numFmtId="1" fontId="10" fillId="0" borderId="0" xfId="0" applyNumberFormat="1" applyFont="1" applyAlignment="1">
      <alignment horizontal="center"/>
    </xf>
    <xf numFmtId="0" fontId="10" fillId="0" borderId="0" xfId="0" applyNumberFormat="1" applyFont="1" applyBorder="1" applyAlignment="1">
      <alignment horizontal="center"/>
    </xf>
    <xf numFmtId="164" fontId="11" fillId="0" borderId="4" xfId="1" applyFont="1" applyBorder="1" applyAlignment="1">
      <alignment horizontal="center"/>
    </xf>
    <xf numFmtId="1" fontId="8" fillId="0" borderId="0" xfId="0" applyNumberFormat="1" applyFont="1"/>
    <xf numFmtId="9" fontId="8" fillId="0" borderId="0" xfId="128" applyFont="1"/>
    <xf numFmtId="0" fontId="8" fillId="4" borderId="0" xfId="0" applyFont="1" applyFill="1" applyBorder="1"/>
    <xf numFmtId="0" fontId="8" fillId="4" borderId="0" xfId="0" applyFont="1" applyFill="1"/>
    <xf numFmtId="1" fontId="8" fillId="0" borderId="0" xfId="0" applyNumberFormat="1" applyFont="1" applyAlignment="1">
      <alignment horizontal="center"/>
    </xf>
    <xf numFmtId="1" fontId="10" fillId="0" borderId="0" xfId="0" applyNumberFormat="1" applyFont="1" applyBorder="1" applyAlignment="1">
      <alignment horizontal="left"/>
    </xf>
    <xf numFmtId="12" fontId="8" fillId="0" borderId="0" xfId="0" applyNumberFormat="1" applyFont="1" applyAlignment="1">
      <alignment horizontal="left"/>
    </xf>
    <xf numFmtId="1" fontId="11" fillId="0" borderId="4" xfId="1" applyNumberFormat="1" applyFont="1" applyBorder="1" applyAlignment="1">
      <alignment horizontal="center"/>
    </xf>
    <xf numFmtId="164" fontId="17" fillId="0" borderId="4" xfId="1" applyFont="1" applyBorder="1" applyAlignment="1">
      <alignment horizontal="center"/>
    </xf>
    <xf numFmtId="0" fontId="20" fillId="0" borderId="0" xfId="0" applyFont="1"/>
    <xf numFmtId="12" fontId="21" fillId="0" borderId="0" xfId="0" applyNumberFormat="1" applyFont="1" applyAlignment="1">
      <alignment horizontal="center"/>
    </xf>
    <xf numFmtId="12" fontId="21" fillId="0" borderId="0" xfId="0" applyNumberFormat="1" applyFont="1" applyAlignment="1">
      <alignment horizontal="center" vertical="top"/>
    </xf>
    <xf numFmtId="1" fontId="8" fillId="0" borderId="0" xfId="0" applyNumberFormat="1" applyFont="1" applyBorder="1" applyAlignment="1">
      <alignment horizontal="right"/>
    </xf>
    <xf numFmtId="12" fontId="21" fillId="0" borderId="0" xfId="0" applyNumberFormat="1" applyFont="1" applyBorder="1" applyAlignment="1">
      <alignment horizontal="right"/>
    </xf>
    <xf numFmtId="1" fontId="8" fillId="0" borderId="0" xfId="0" applyNumberFormat="1" applyFont="1" applyBorder="1" applyAlignment="1">
      <alignment horizontal="center"/>
    </xf>
    <xf numFmtId="12" fontId="21" fillId="0" borderId="0" xfId="0" applyNumberFormat="1" applyFont="1" applyBorder="1" applyAlignment="1">
      <alignment horizontal="center"/>
    </xf>
    <xf numFmtId="12" fontId="21" fillId="0" borderId="0" xfId="0" applyNumberFormat="1" applyFont="1" applyAlignment="1"/>
    <xf numFmtId="1" fontId="10" fillId="0" borderId="0" xfId="0" applyNumberFormat="1" applyFont="1" applyAlignment="1">
      <alignment horizontal="left"/>
    </xf>
    <xf numFmtId="12" fontId="21" fillId="0" borderId="0" xfId="0" applyNumberFormat="1" applyFont="1" applyAlignment="1">
      <alignment horizontal="left"/>
    </xf>
    <xf numFmtId="1" fontId="8" fillId="0" borderId="0" xfId="0" applyNumberFormat="1" applyFont="1" applyBorder="1" applyAlignment="1">
      <alignment horizontal="left"/>
    </xf>
    <xf numFmtId="12" fontId="21" fillId="0" borderId="0" xfId="0" applyNumberFormat="1" applyFont="1" applyAlignment="1">
      <alignment horizontal="left" vertical="top"/>
    </xf>
    <xf numFmtId="0" fontId="10" fillId="0" borderId="0" xfId="0" applyNumberFormat="1" applyFont="1" applyBorder="1" applyAlignment="1">
      <alignment horizontal="center" vertical="top"/>
    </xf>
    <xf numFmtId="12" fontId="21" fillId="0" borderId="4" xfId="0" applyNumberFormat="1" applyFont="1" applyBorder="1" applyAlignment="1">
      <alignment horizontal="left" indent="1"/>
    </xf>
    <xf numFmtId="0" fontId="8" fillId="0" borderId="17" xfId="0" applyFont="1" applyFill="1" applyBorder="1" applyAlignment="1">
      <alignment horizontal="left"/>
    </xf>
    <xf numFmtId="0" fontId="8" fillId="0" borderId="18" xfId="0" applyFont="1" applyFill="1" applyBorder="1" applyAlignment="1">
      <alignment horizontal="left"/>
    </xf>
    <xf numFmtId="167" fontId="11" fillId="0" borderId="4" xfId="1" applyNumberFormat="1" applyFont="1" applyBorder="1" applyAlignment="1">
      <alignment horizontal="center"/>
    </xf>
    <xf numFmtId="12" fontId="21" fillId="0" borderId="9" xfId="0" applyNumberFormat="1" applyFont="1" applyBorder="1" applyAlignment="1">
      <alignment horizontal="left" indent="1"/>
    </xf>
    <xf numFmtId="0" fontId="22" fillId="0" borderId="0" xfId="0" applyFont="1"/>
    <xf numFmtId="0" fontId="10" fillId="0" borderId="22" xfId="0" applyFont="1" applyBorder="1"/>
    <xf numFmtId="0" fontId="10" fillId="0" borderId="0" xfId="0" applyFont="1" applyBorder="1"/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quotePrefix="1" applyFont="1" applyBorder="1" applyAlignment="1">
      <alignment horizontal="center"/>
    </xf>
    <xf numFmtId="0" fontId="10" fillId="0" borderId="22" xfId="0" applyFont="1" applyBorder="1" applyAlignment="1"/>
    <xf numFmtId="0" fontId="15" fillId="0" borderId="0" xfId="0" applyFont="1" applyBorder="1" applyAlignment="1"/>
    <xf numFmtId="0" fontId="10" fillId="0" borderId="0" xfId="0" applyFont="1" applyAlignment="1">
      <alignment horizontal="center"/>
    </xf>
    <xf numFmtId="0" fontId="8" fillId="0" borderId="22" xfId="0" applyFont="1" applyBorder="1"/>
    <xf numFmtId="0" fontId="10" fillId="0" borderId="0" xfId="0" applyFont="1" applyFill="1" applyBorder="1" applyAlignment="1">
      <alignment horizontal="center"/>
    </xf>
    <xf numFmtId="0" fontId="8" fillId="0" borderId="0" xfId="1" applyNumberFormat="1" applyFont="1" applyAlignment="1">
      <alignment horizontal="center"/>
    </xf>
    <xf numFmtId="2" fontId="8" fillId="0" borderId="0" xfId="1" applyNumberFormat="1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8" fillId="0" borderId="22" xfId="0" applyFont="1" applyBorder="1" applyAlignment="1"/>
    <xf numFmtId="0" fontId="10" fillId="0" borderId="0" xfId="0" applyFont="1" applyBorder="1" applyAlignment="1">
      <alignment horizontal="center"/>
    </xf>
    <xf numFmtId="2" fontId="8" fillId="0" borderId="0" xfId="1" applyNumberFormat="1" applyFont="1" applyAlignment="1">
      <alignment horizontal="left" vertical="center"/>
    </xf>
    <xf numFmtId="2" fontId="8" fillId="0" borderId="0" xfId="1" applyNumberFormat="1" applyFont="1" applyAlignment="1">
      <alignment horizontal="center" vertical="center"/>
    </xf>
    <xf numFmtId="1" fontId="8" fillId="0" borderId="0" xfId="1" applyNumberFormat="1" applyFont="1" applyAlignment="1">
      <alignment horizontal="center"/>
    </xf>
    <xf numFmtId="9" fontId="8" fillId="0" borderId="0" xfId="128" applyFont="1" applyAlignment="1">
      <alignment horizontal="center"/>
    </xf>
    <xf numFmtId="1" fontId="18" fillId="0" borderId="0" xfId="0" applyNumberFormat="1" applyFont="1" applyAlignment="1">
      <alignment horizontal="center"/>
    </xf>
    <xf numFmtId="9" fontId="18" fillId="0" borderId="0" xfId="0" applyNumberFormat="1" applyFont="1" applyAlignment="1">
      <alignment horizontal="center"/>
    </xf>
    <xf numFmtId="0" fontId="18" fillId="0" borderId="0" xfId="0" applyNumberFormat="1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8" fillId="0" borderId="0" xfId="0" applyNumberFormat="1" applyFont="1" applyBorder="1" applyAlignment="1">
      <alignment horizontal="center"/>
    </xf>
    <xf numFmtId="166" fontId="10" fillId="0" borderId="22" xfId="0" applyNumberFormat="1" applyFont="1" applyBorder="1"/>
    <xf numFmtId="166" fontId="8" fillId="0" borderId="22" xfId="0" applyNumberFormat="1" applyFont="1" applyBorder="1"/>
    <xf numFmtId="0" fontId="2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168" fontId="8" fillId="0" borderId="0" xfId="0" applyNumberFormat="1" applyFont="1" applyAlignment="1">
      <alignment horizontal="center"/>
    </xf>
    <xf numFmtId="0" fontId="11" fillId="0" borderId="7" xfId="0" applyFont="1" applyBorder="1" applyAlignment="1">
      <alignment horizontal="right"/>
    </xf>
    <xf numFmtId="0" fontId="11" fillId="0" borderId="4" xfId="0" applyFont="1" applyBorder="1" applyAlignment="1">
      <alignment horizontal="right"/>
    </xf>
    <xf numFmtId="166" fontId="11" fillId="0" borderId="7" xfId="0" applyNumberFormat="1" applyFont="1" applyBorder="1" applyAlignment="1">
      <alignment horizontal="right"/>
    </xf>
    <xf numFmtId="166" fontId="11" fillId="0" borderId="4" xfId="0" applyNumberFormat="1" applyFont="1" applyBorder="1" applyAlignment="1">
      <alignment horizontal="right" vertical="center"/>
    </xf>
    <xf numFmtId="0" fontId="19" fillId="0" borderId="0" xfId="0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/>
    </xf>
    <xf numFmtId="0" fontId="20" fillId="0" borderId="0" xfId="0" applyFont="1" applyFill="1"/>
    <xf numFmtId="0" fontId="7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/>
    </xf>
    <xf numFmtId="12" fontId="21" fillId="0" borderId="0" xfId="0" applyNumberFormat="1" applyFont="1" applyFill="1" applyAlignment="1">
      <alignment horizontal="center"/>
    </xf>
    <xf numFmtId="12" fontId="21" fillId="0" borderId="0" xfId="0" applyNumberFormat="1" applyFont="1" applyFill="1" applyAlignment="1">
      <alignment horizontal="center" vertical="top"/>
    </xf>
    <xf numFmtId="0" fontId="9" fillId="0" borderId="0" xfId="0" applyFont="1" applyFill="1"/>
    <xf numFmtId="0" fontId="8" fillId="0" borderId="0" xfId="0" applyFont="1" applyFill="1"/>
    <xf numFmtId="1" fontId="8" fillId="0" borderId="0" xfId="0" applyNumberFormat="1" applyFont="1" applyFill="1" applyBorder="1" applyAlignment="1">
      <alignment horizontal="right"/>
    </xf>
    <xf numFmtId="12" fontId="21" fillId="0" borderId="0" xfId="0" applyNumberFormat="1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center"/>
    </xf>
    <xf numFmtId="12" fontId="21" fillId="0" borderId="0" xfId="0" applyNumberFormat="1" applyFont="1" applyFill="1" applyBorder="1" applyAlignment="1">
      <alignment horizontal="center"/>
    </xf>
    <xf numFmtId="12" fontId="21" fillId="0" borderId="0" xfId="0" applyNumberFormat="1" applyFont="1" applyFill="1" applyAlignment="1"/>
    <xf numFmtId="1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Alignment="1">
      <alignment horizontal="left"/>
    </xf>
    <xf numFmtId="12" fontId="21" fillId="0" borderId="0" xfId="0" applyNumberFormat="1" applyFont="1" applyFill="1" applyAlignment="1">
      <alignment horizontal="right"/>
    </xf>
    <xf numFmtId="12" fontId="21" fillId="0" borderId="0" xfId="0" applyNumberFormat="1" applyFont="1" applyFill="1" applyAlignment="1">
      <alignment horizontal="left"/>
    </xf>
    <xf numFmtId="2" fontId="10" fillId="0" borderId="0" xfId="0" applyNumberFormat="1" applyFont="1" applyFill="1" applyBorder="1"/>
    <xf numFmtId="12" fontId="8" fillId="0" borderId="0" xfId="0" applyNumberFormat="1" applyFont="1" applyFill="1"/>
    <xf numFmtId="12" fontId="21" fillId="0" borderId="0" xfId="0" applyNumberFormat="1" applyFont="1" applyFill="1" applyAlignment="1">
      <alignment horizontal="right" vertical="top"/>
    </xf>
    <xf numFmtId="0" fontId="10" fillId="0" borderId="0" xfId="0" applyNumberFormat="1" applyFont="1" applyFill="1" applyBorder="1" applyAlignment="1">
      <alignment horizontal="center" vertical="top"/>
    </xf>
    <xf numFmtId="0" fontId="10" fillId="0" borderId="0" xfId="0" applyFont="1" applyBorder="1" applyAlignment="1">
      <alignment horizontal="right"/>
    </xf>
    <xf numFmtId="0" fontId="8" fillId="0" borderId="0" xfId="0" quotePrefix="1" applyFont="1" applyBorder="1" applyAlignment="1">
      <alignment horizontal="left" indent="1"/>
    </xf>
    <xf numFmtId="0" fontId="15" fillId="0" borderId="0" xfId="0" applyFont="1"/>
    <xf numFmtId="0" fontId="10" fillId="0" borderId="0" xfId="0" applyFont="1" applyBorder="1" applyAlignment="1">
      <alignment horizontal="right" indent="1"/>
    </xf>
    <xf numFmtId="2" fontId="8" fillId="0" borderId="0" xfId="0" quotePrefix="1" applyNumberFormat="1" applyFont="1" applyBorder="1" applyAlignment="1">
      <alignment horizontal="left"/>
    </xf>
    <xf numFmtId="0" fontId="8" fillId="0" borderId="22" xfId="0" quotePrefix="1" applyFont="1" applyBorder="1" applyAlignment="1">
      <alignment horizontal="left" indent="1"/>
    </xf>
    <xf numFmtId="0" fontId="8" fillId="0" borderId="18" xfId="0" quotePrefix="1" applyFont="1" applyBorder="1" applyAlignment="1">
      <alignment horizontal="left" indent="1"/>
    </xf>
    <xf numFmtId="0" fontId="8" fillId="0" borderId="16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1" fontId="8" fillId="0" borderId="16" xfId="0" applyNumberFormat="1" applyFont="1" applyBorder="1" applyAlignment="1">
      <alignment horizontal="center"/>
    </xf>
    <xf numFmtId="1" fontId="8" fillId="0" borderId="23" xfId="0" applyNumberFormat="1" applyFont="1" applyBorder="1" applyAlignment="1">
      <alignment horizontal="center"/>
    </xf>
    <xf numFmtId="0" fontId="15" fillId="0" borderId="22" xfId="0" applyFont="1" applyBorder="1"/>
    <xf numFmtId="0" fontId="24" fillId="0" borderId="0" xfId="0" applyFont="1"/>
    <xf numFmtId="0" fontId="25" fillId="0" borderId="0" xfId="0" applyFont="1"/>
    <xf numFmtId="0" fontId="8" fillId="0" borderId="0" xfId="0" applyFont="1" applyAlignment="1">
      <alignment horizontal="left"/>
    </xf>
    <xf numFmtId="0" fontId="26" fillId="0" borderId="0" xfId="0" applyFont="1"/>
    <xf numFmtId="1" fontId="10" fillId="0" borderId="0" xfId="0" applyNumberFormat="1" applyFont="1" applyBorder="1" applyAlignment="1"/>
    <xf numFmtId="0" fontId="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15" fillId="0" borderId="0" xfId="0" applyFont="1" applyBorder="1" applyAlignment="1">
      <alignment horizontal="center"/>
    </xf>
    <xf numFmtId="12" fontId="8" fillId="0" borderId="0" xfId="0" applyNumberFormat="1" applyFont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28" fillId="0" borderId="0" xfId="0" applyFont="1"/>
    <xf numFmtId="0" fontId="30" fillId="0" borderId="0" xfId="0" applyFont="1"/>
    <xf numFmtId="0" fontId="28" fillId="0" borderId="0" xfId="0" applyFont="1" applyBorder="1"/>
    <xf numFmtId="0" fontId="28" fillId="2" borderId="0" xfId="0" applyFont="1" applyFill="1" applyBorder="1"/>
    <xf numFmtId="1" fontId="31" fillId="0" borderId="0" xfId="0" applyNumberFormat="1" applyFont="1" applyBorder="1" applyAlignment="1">
      <alignment horizontal="center"/>
    </xf>
    <xf numFmtId="12" fontId="28" fillId="0" borderId="0" xfId="0" applyNumberFormat="1" applyFont="1" applyAlignment="1"/>
    <xf numFmtId="12" fontId="28" fillId="0" borderId="0" xfId="0" applyNumberFormat="1" applyFont="1" applyAlignment="1">
      <alignment horizontal="center"/>
    </xf>
    <xf numFmtId="0" fontId="28" fillId="3" borderId="0" xfId="0" applyFont="1" applyFill="1" applyBorder="1"/>
    <xf numFmtId="1" fontId="31" fillId="0" borderId="0" xfId="0" applyNumberFormat="1" applyFont="1" applyAlignment="1">
      <alignment horizontal="center"/>
    </xf>
    <xf numFmtId="1" fontId="31" fillId="0" borderId="0" xfId="0" applyNumberFormat="1" applyFont="1" applyBorder="1" applyAlignment="1">
      <alignment horizontal="right"/>
    </xf>
    <xf numFmtId="2" fontId="31" fillId="0" borderId="0" xfId="0" applyNumberFormat="1" applyFont="1" applyBorder="1"/>
    <xf numFmtId="12" fontId="28" fillId="0" borderId="0" xfId="0" applyNumberFormat="1" applyFont="1"/>
    <xf numFmtId="0" fontId="31" fillId="0" borderId="0" xfId="0" applyNumberFormat="1" applyFont="1" applyBorder="1" applyAlignment="1">
      <alignment horizontal="center"/>
    </xf>
    <xf numFmtId="0" fontId="28" fillId="0" borderId="5" xfId="0" applyFont="1" applyBorder="1"/>
    <xf numFmtId="0" fontId="31" fillId="0" borderId="6" xfId="0" applyFont="1" applyBorder="1" applyAlignment="1">
      <alignment horizontal="center"/>
    </xf>
    <xf numFmtId="164" fontId="31" fillId="0" borderId="6" xfId="1" applyFont="1" applyBorder="1" applyAlignment="1">
      <alignment horizontal="center"/>
    </xf>
    <xf numFmtId="0" fontId="31" fillId="0" borderId="6" xfId="0" applyFont="1" applyBorder="1" applyAlignment="1">
      <alignment horizontal="right"/>
    </xf>
    <xf numFmtId="0" fontId="33" fillId="0" borderId="7" xfId="0" applyFont="1" applyBorder="1" applyAlignment="1">
      <alignment horizontal="right"/>
    </xf>
    <xf numFmtId="12" fontId="28" fillId="0" borderId="4" xfId="0" applyNumberFormat="1" applyFont="1" applyBorder="1" applyAlignment="1">
      <alignment horizontal="left" indent="1"/>
    </xf>
    <xf numFmtId="1" fontId="34" fillId="0" borderId="4" xfId="1" applyNumberFormat="1" applyFont="1" applyBorder="1" applyAlignment="1">
      <alignment horizontal="center"/>
    </xf>
    <xf numFmtId="0" fontId="33" fillId="0" borderId="4" xfId="0" applyFont="1" applyBorder="1" applyAlignment="1">
      <alignment horizontal="right"/>
    </xf>
    <xf numFmtId="0" fontId="31" fillId="0" borderId="4" xfId="0" applyFont="1" applyBorder="1" applyAlignment="1">
      <alignment horizontal="right"/>
    </xf>
    <xf numFmtId="0" fontId="35" fillId="0" borderId="0" xfId="0" applyFont="1"/>
    <xf numFmtId="0" fontId="31" fillId="0" borderId="7" xfId="0" applyFont="1" applyBorder="1" applyAlignment="1">
      <alignment horizontal="right"/>
    </xf>
    <xf numFmtId="1" fontId="32" fillId="0" borderId="4" xfId="1" applyNumberFormat="1" applyFont="1" applyBorder="1" applyAlignment="1">
      <alignment horizontal="center"/>
    </xf>
    <xf numFmtId="1" fontId="31" fillId="0" borderId="4" xfId="1" applyNumberFormat="1" applyFont="1" applyBorder="1" applyAlignment="1">
      <alignment horizontal="center"/>
    </xf>
    <xf numFmtId="1" fontId="28" fillId="0" borderId="4" xfId="1" applyNumberFormat="1" applyFont="1" applyBorder="1" applyAlignment="1">
      <alignment horizontal="center"/>
    </xf>
    <xf numFmtId="0" fontId="28" fillId="0" borderId="0" xfId="0" applyFont="1" applyFill="1" applyBorder="1"/>
    <xf numFmtId="0" fontId="28" fillId="0" borderId="1" xfId="0" applyFont="1" applyBorder="1"/>
    <xf numFmtId="0" fontId="31" fillId="0" borderId="4" xfId="0" applyFont="1" applyFill="1" applyBorder="1" applyAlignment="1">
      <alignment horizontal="right"/>
    </xf>
    <xf numFmtId="164" fontId="33" fillId="0" borderId="4" xfId="1" applyFont="1" applyBorder="1" applyAlignment="1">
      <alignment horizontal="center"/>
    </xf>
    <xf numFmtId="0" fontId="28" fillId="0" borderId="16" xfId="0" applyFont="1" applyBorder="1" applyAlignment="1"/>
    <xf numFmtId="0" fontId="28" fillId="0" borderId="0" xfId="0" applyFont="1" applyBorder="1" applyAlignment="1"/>
    <xf numFmtId="0" fontId="28" fillId="0" borderId="1" xfId="0" applyFont="1" applyBorder="1" applyAlignment="1"/>
    <xf numFmtId="1" fontId="36" fillId="0" borderId="4" xfId="1" applyNumberFormat="1" applyFont="1" applyBorder="1" applyAlignment="1">
      <alignment horizontal="center"/>
    </xf>
    <xf numFmtId="0" fontId="31" fillId="0" borderId="8" xfId="0" applyFont="1" applyBorder="1" applyAlignment="1">
      <alignment horizontal="right"/>
    </xf>
    <xf numFmtId="12" fontId="28" fillId="0" borderId="9" xfId="0" applyNumberFormat="1" applyFont="1" applyBorder="1" applyAlignment="1">
      <alignment horizontal="left" indent="1"/>
    </xf>
    <xf numFmtId="1" fontId="32" fillId="0" borderId="9" xfId="1" applyNumberFormat="1" applyFont="1" applyBorder="1" applyAlignment="1">
      <alignment horizontal="center"/>
    </xf>
    <xf numFmtId="0" fontId="31" fillId="0" borderId="9" xfId="0" applyFont="1" applyBorder="1" applyAlignment="1">
      <alignment horizontal="right"/>
    </xf>
    <xf numFmtId="166" fontId="28" fillId="0" borderId="9" xfId="1" applyNumberFormat="1" applyFont="1" applyBorder="1" applyAlignment="1">
      <alignment horizontal="center"/>
    </xf>
    <xf numFmtId="0" fontId="28" fillId="0" borderId="2" xfId="0" applyFont="1" applyBorder="1"/>
    <xf numFmtId="0" fontId="28" fillId="0" borderId="3" xfId="0" applyFont="1" applyBorder="1" applyAlignment="1"/>
    <xf numFmtId="0" fontId="31" fillId="0" borderId="22" xfId="0" applyFont="1" applyBorder="1"/>
    <xf numFmtId="0" fontId="37" fillId="0" borderId="0" xfId="0" applyFont="1" applyFill="1" applyBorder="1" applyAlignment="1">
      <alignment horizontal="center"/>
    </xf>
    <xf numFmtId="0" fontId="37" fillId="0" borderId="0" xfId="0" applyFont="1" applyAlignment="1">
      <alignment horizontal="center"/>
    </xf>
    <xf numFmtId="2" fontId="28" fillId="0" borderId="0" xfId="1" applyNumberFormat="1" applyFont="1" applyAlignment="1">
      <alignment horizontal="center"/>
    </xf>
    <xf numFmtId="1" fontId="28" fillId="0" borderId="0" xfId="1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9" fontId="28" fillId="0" borderId="0" xfId="128" applyFont="1" applyAlignment="1">
      <alignment horizontal="center"/>
    </xf>
    <xf numFmtId="164" fontId="28" fillId="0" borderId="0" xfId="1" applyFont="1"/>
    <xf numFmtId="1" fontId="28" fillId="0" borderId="0" xfId="1" applyNumberFormat="1" applyFont="1"/>
    <xf numFmtId="1" fontId="28" fillId="0" borderId="0" xfId="0" applyNumberFormat="1" applyFont="1"/>
    <xf numFmtId="9" fontId="28" fillId="0" borderId="0" xfId="128" applyFont="1"/>
    <xf numFmtId="0" fontId="31" fillId="0" borderId="22" xfId="0" applyFont="1" applyBorder="1" applyAlignment="1"/>
    <xf numFmtId="0" fontId="28" fillId="0" borderId="22" xfId="0" applyFont="1" applyBorder="1"/>
    <xf numFmtId="0" fontId="28" fillId="0" borderId="22" xfId="0" applyFont="1" applyBorder="1" applyAlignment="1"/>
    <xf numFmtId="0" fontId="37" fillId="0" borderId="0" xfId="0" applyFont="1" applyBorder="1" applyAlignment="1"/>
    <xf numFmtId="0" fontId="37" fillId="0" borderId="0" xfId="0" applyFont="1"/>
    <xf numFmtId="0" fontId="37" fillId="0" borderId="0" xfId="0" applyFont="1" applyBorder="1" applyAlignment="1">
      <alignment horizontal="center"/>
    </xf>
    <xf numFmtId="0" fontId="31" fillId="0" borderId="0" xfId="0" applyFont="1" applyBorder="1" applyAlignment="1">
      <alignment horizontal="right"/>
    </xf>
    <xf numFmtId="0" fontId="28" fillId="0" borderId="0" xfId="0" quotePrefix="1" applyFont="1" applyBorder="1" applyAlignment="1">
      <alignment horizontal="left" indent="1"/>
    </xf>
    <xf numFmtId="0" fontId="28" fillId="0" borderId="0" xfId="0" applyFont="1" applyBorder="1" applyAlignment="1">
      <alignment horizontal="center"/>
    </xf>
    <xf numFmtId="1" fontId="28" fillId="0" borderId="0" xfId="0" applyNumberFormat="1" applyFont="1" applyBorder="1" applyAlignment="1">
      <alignment horizontal="center"/>
    </xf>
    <xf numFmtId="0" fontId="38" fillId="0" borderId="0" xfId="0" applyFont="1"/>
    <xf numFmtId="0" fontId="39" fillId="0" borderId="0" xfId="0" applyFont="1" applyAlignment="1">
      <alignment horizontal="right"/>
    </xf>
    <xf numFmtId="0" fontId="38" fillId="0" borderId="0" xfId="0" applyFont="1" applyAlignment="1">
      <alignment horizontal="left" indent="1"/>
    </xf>
    <xf numFmtId="0" fontId="38" fillId="0" borderId="0" xfId="0" applyFont="1" applyAlignment="1">
      <alignment horizontal="center"/>
    </xf>
    <xf numFmtId="0" fontId="28" fillId="0" borderId="0" xfId="0" applyFont="1" applyAlignment="1"/>
    <xf numFmtId="0" fontId="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1" fontId="10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6" borderId="0" xfId="0" applyFont="1" applyFill="1" applyBorder="1"/>
    <xf numFmtId="1" fontId="40" fillId="0" borderId="0" xfId="0" applyNumberFormat="1" applyFont="1" applyBorder="1" applyAlignment="1">
      <alignment horizontal="center"/>
    </xf>
    <xf numFmtId="12" fontId="41" fillId="0" borderId="0" xfId="0" applyNumberFormat="1" applyFont="1" applyAlignment="1">
      <alignment horizontal="center"/>
    </xf>
    <xf numFmtId="1" fontId="40" fillId="0" borderId="0" xfId="0" applyNumberFormat="1" applyFont="1" applyFill="1" applyBorder="1" applyAlignment="1">
      <alignment horizontal="left"/>
    </xf>
    <xf numFmtId="164" fontId="10" fillId="0" borderId="6" xfId="255" applyFont="1" applyBorder="1" applyAlignment="1">
      <alignment horizontal="center"/>
    </xf>
    <xf numFmtId="1" fontId="11" fillId="0" borderId="4" xfId="255" applyNumberFormat="1" applyFont="1" applyBorder="1" applyAlignment="1">
      <alignment horizontal="center"/>
    </xf>
    <xf numFmtId="1" fontId="13" fillId="0" borderId="4" xfId="255" applyNumberFormat="1" applyFont="1" applyBorder="1" applyAlignment="1">
      <alignment horizontal="center"/>
    </xf>
    <xf numFmtId="1" fontId="10" fillId="0" borderId="4" xfId="255" applyNumberFormat="1" applyFont="1" applyBorder="1" applyAlignment="1">
      <alignment horizontal="center"/>
    </xf>
    <xf numFmtId="167" fontId="11" fillId="0" borderId="4" xfId="255" applyNumberFormat="1" applyFont="1" applyBorder="1" applyAlignment="1">
      <alignment horizontal="center"/>
    </xf>
    <xf numFmtId="0" fontId="40" fillId="0" borderId="16" xfId="0" applyFont="1" applyBorder="1" applyAlignment="1"/>
    <xf numFmtId="1" fontId="14" fillId="0" borderId="4" xfId="255" applyNumberFormat="1" applyFont="1" applyBorder="1" applyAlignment="1">
      <alignment horizontal="center"/>
    </xf>
    <xf numFmtId="1" fontId="13" fillId="0" borderId="9" xfId="255" applyNumberFormat="1" applyFont="1" applyBorder="1" applyAlignment="1">
      <alignment horizontal="center"/>
    </xf>
    <xf numFmtId="166" fontId="8" fillId="0" borderId="9" xfId="255" applyNumberFormat="1" applyFont="1" applyBorder="1" applyAlignment="1">
      <alignment horizontal="center"/>
    </xf>
    <xf numFmtId="1" fontId="8" fillId="0" borderId="0" xfId="255" applyNumberFormat="1" applyFont="1"/>
    <xf numFmtId="0" fontId="8" fillId="0" borderId="0" xfId="255" applyNumberFormat="1" applyFont="1"/>
    <xf numFmtId="164" fontId="8" fillId="0" borderId="0" xfId="255" applyFont="1"/>
    <xf numFmtId="0" fontId="8" fillId="5" borderId="0" xfId="0" applyFont="1" applyFill="1" applyBorder="1"/>
    <xf numFmtId="0" fontId="42" fillId="5" borderId="0" xfId="0" applyFont="1" applyFill="1" applyBorder="1"/>
    <xf numFmtId="12" fontId="21" fillId="0" borderId="0" xfId="0" applyNumberFormat="1" applyFont="1" applyAlignment="1">
      <alignment horizontal="right"/>
    </xf>
    <xf numFmtId="12" fontId="21" fillId="0" borderId="0" xfId="0" applyNumberFormat="1" applyFont="1" applyAlignment="1">
      <alignment horizontal="left" vertical="center"/>
    </xf>
    <xf numFmtId="1" fontId="8" fillId="0" borderId="0" xfId="0" applyNumberFormat="1" applyFont="1" applyBorder="1" applyAlignment="1">
      <alignment horizontal="left" vertical="center"/>
    </xf>
    <xf numFmtId="1" fontId="8" fillId="0" borderId="0" xfId="0" applyNumberFormat="1" applyFont="1" applyAlignment="1">
      <alignment horizontal="left"/>
    </xf>
    <xf numFmtId="1" fontId="8" fillId="0" borderId="0" xfId="0" applyNumberFormat="1" applyFont="1" applyFill="1" applyBorder="1" applyAlignment="1">
      <alignment horizontal="left"/>
    </xf>
    <xf numFmtId="0" fontId="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12" fontId="8" fillId="0" borderId="0" xfId="0" applyNumberFormat="1" applyFont="1" applyAlignment="1">
      <alignment horizontal="center"/>
    </xf>
    <xf numFmtId="1" fontId="10" fillId="0" borderId="0" xfId="0" applyNumberFormat="1" applyFont="1" applyBorder="1" applyAlignment="1">
      <alignment horizontal="center"/>
    </xf>
    <xf numFmtId="0" fontId="8" fillId="7" borderId="0" xfId="0" applyFont="1" applyFill="1" applyBorder="1"/>
    <xf numFmtId="1" fontId="8" fillId="0" borderId="0" xfId="0" applyNumberFormat="1" applyFont="1" applyFill="1"/>
    <xf numFmtId="12" fontId="21" fillId="0" borderId="0" xfId="0" applyNumberFormat="1" applyFont="1" applyAlignment="1">
      <alignment horizontal="right" vertical="top"/>
    </xf>
    <xf numFmtId="12" fontId="43" fillId="0" borderId="0" xfId="0" applyNumberFormat="1" applyFont="1" applyAlignment="1"/>
    <xf numFmtId="12" fontId="43" fillId="0" borderId="0" xfId="0" applyNumberFormat="1" applyFont="1" applyAlignment="1">
      <alignment horizontal="center"/>
    </xf>
    <xf numFmtId="12" fontId="43" fillId="0" borderId="4" xfId="0" applyNumberFormat="1" applyFont="1" applyBorder="1" applyAlignment="1">
      <alignment horizontal="left" indent="1"/>
    </xf>
    <xf numFmtId="12" fontId="43" fillId="0" borderId="9" xfId="0" applyNumberFormat="1" applyFont="1" applyBorder="1" applyAlignment="1">
      <alignment horizontal="left" indent="1"/>
    </xf>
    <xf numFmtId="1" fontId="10" fillId="0" borderId="0" xfId="0" applyNumberFormat="1" applyFont="1" applyFill="1" applyBorder="1" applyAlignment="1">
      <alignment horizontal="left"/>
    </xf>
    <xf numFmtId="0" fontId="44" fillId="0" borderId="0" xfId="0" applyFont="1" applyFill="1" applyBorder="1"/>
    <xf numFmtId="0" fontId="44" fillId="0" borderId="0" xfId="0" applyFont="1"/>
    <xf numFmtId="1" fontId="8" fillId="0" borderId="0" xfId="0" applyNumberFormat="1" applyFont="1" applyFill="1" applyBorder="1"/>
    <xf numFmtId="2" fontId="45" fillId="0" borderId="0" xfId="1" applyNumberFormat="1" applyFont="1" applyAlignment="1">
      <alignment horizontal="left" vertical="center" indent="1"/>
    </xf>
    <xf numFmtId="0" fontId="15" fillId="0" borderId="23" xfId="0" applyFont="1" applyBorder="1" applyAlignment="1">
      <alignment horizontal="center"/>
    </xf>
    <xf numFmtId="12" fontId="8" fillId="0" borderId="0" xfId="0" applyNumberFormat="1" applyFont="1" applyAlignment="1">
      <alignment horizontal="center"/>
    </xf>
    <xf numFmtId="166" fontId="18" fillId="0" borderId="0" xfId="0" applyNumberFormat="1" applyFont="1"/>
    <xf numFmtId="12" fontId="8" fillId="0" borderId="0" xfId="0" applyNumberFormat="1" applyFont="1" applyFill="1" applyAlignment="1"/>
    <xf numFmtId="0" fontId="8" fillId="8" borderId="0" xfId="0" applyFont="1" applyFill="1" applyBorder="1"/>
    <xf numFmtId="1" fontId="10" fillId="8" borderId="0" xfId="0" applyNumberFormat="1" applyFont="1" applyFill="1" applyBorder="1" applyAlignment="1">
      <alignment horizontal="center"/>
    </xf>
    <xf numFmtId="12" fontId="8" fillId="8" borderId="0" xfId="0" applyNumberFormat="1" applyFont="1" applyFill="1" applyAlignment="1"/>
    <xf numFmtId="0" fontId="8" fillId="8" borderId="0" xfId="0" applyFont="1" applyFill="1"/>
    <xf numFmtId="12" fontId="8" fillId="8" borderId="0" xfId="0" applyNumberFormat="1" applyFont="1" applyFill="1" applyAlignment="1">
      <alignment horizontal="center"/>
    </xf>
    <xf numFmtId="2" fontId="10" fillId="8" borderId="0" xfId="0" applyNumberFormat="1" applyFont="1" applyFill="1" applyBorder="1"/>
    <xf numFmtId="12" fontId="8" fillId="8" borderId="0" xfId="0" applyNumberFormat="1" applyFont="1" applyFill="1"/>
    <xf numFmtId="0" fontId="46" fillId="0" borderId="0" xfId="0" applyFont="1" applyAlignment="1">
      <alignment horizontal="center"/>
    </xf>
    <xf numFmtId="0" fontId="20" fillId="0" borderId="0" xfId="0" applyFont="1" applyAlignment="1">
      <alignment horizontal="left" indent="2"/>
    </xf>
    <xf numFmtId="0" fontId="4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2" fontId="13" fillId="0" borderId="11" xfId="1" applyNumberFormat="1" applyFont="1" applyBorder="1" applyAlignment="1">
      <alignment horizontal="center"/>
    </xf>
    <xf numFmtId="2" fontId="13" fillId="0" borderId="15" xfId="1" applyNumberFormat="1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64" fontId="13" fillId="0" borderId="10" xfId="1" applyFont="1" applyBorder="1" applyAlignment="1">
      <alignment horizontal="center"/>
    </xf>
    <xf numFmtId="164" fontId="13" fillId="0" borderId="14" xfId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5" fontId="8" fillId="0" borderId="19" xfId="0" applyNumberFormat="1" applyFont="1" applyBorder="1" applyAlignment="1">
      <alignment horizontal="center"/>
    </xf>
    <xf numFmtId="2" fontId="11" fillId="0" borderId="11" xfId="1" applyNumberFormat="1" applyFont="1" applyBorder="1" applyAlignment="1">
      <alignment horizontal="center"/>
    </xf>
    <xf numFmtId="2" fontId="11" fillId="0" borderId="15" xfId="1" applyNumberFormat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166" fontId="8" fillId="0" borderId="11" xfId="0" applyNumberFormat="1" applyFont="1" applyBorder="1" applyAlignment="1">
      <alignment horizontal="center"/>
    </xf>
    <xf numFmtId="166" fontId="8" fillId="0" borderId="12" xfId="0" applyNumberFormat="1" applyFont="1" applyBorder="1" applyAlignment="1">
      <alignment horizontal="center"/>
    </xf>
    <xf numFmtId="166" fontId="8" fillId="0" borderId="13" xfId="0" applyNumberFormat="1" applyFont="1" applyBorder="1" applyAlignment="1">
      <alignment horizontal="center"/>
    </xf>
    <xf numFmtId="166" fontId="8" fillId="0" borderId="16" xfId="0" applyNumberFormat="1" applyFont="1" applyBorder="1" applyAlignment="1">
      <alignment horizontal="center"/>
    </xf>
    <xf numFmtId="166" fontId="8" fillId="0" borderId="0" xfId="0" applyNumberFormat="1" applyFont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166" fontId="8" fillId="0" borderId="21" xfId="0" applyNumberFormat="1" applyFont="1" applyBorder="1" applyAlignment="1">
      <alignment horizontal="center"/>
    </xf>
    <xf numFmtId="166" fontId="8" fillId="0" borderId="2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/>
    </xf>
    <xf numFmtId="166" fontId="7" fillId="0" borderId="0" xfId="0" applyNumberFormat="1" applyFont="1" applyBorder="1" applyAlignment="1">
      <alignment horizontal="center" vertical="center"/>
    </xf>
    <xf numFmtId="166" fontId="19" fillId="0" borderId="0" xfId="0" applyNumberFormat="1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/>
    </xf>
    <xf numFmtId="166" fontId="8" fillId="0" borderId="20" xfId="0" applyNumberFormat="1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166" fontId="13" fillId="0" borderId="11" xfId="1" applyNumberFormat="1" applyFont="1" applyBorder="1" applyAlignment="1">
      <alignment horizontal="center"/>
    </xf>
    <xf numFmtId="166" fontId="13" fillId="0" borderId="15" xfId="1" applyNumberFormat="1" applyFont="1" applyBorder="1" applyAlignment="1">
      <alignment horizontal="center"/>
    </xf>
    <xf numFmtId="0" fontId="10" fillId="0" borderId="22" xfId="0" applyFont="1" applyBorder="1" applyAlignment="1">
      <alignment horizontal="left"/>
    </xf>
    <xf numFmtId="0" fontId="20" fillId="0" borderId="0" xfId="0" applyFont="1" applyBorder="1" applyAlignment="1">
      <alignment horizontal="center" vertical="center"/>
    </xf>
    <xf numFmtId="0" fontId="8" fillId="0" borderId="16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164" fontId="13" fillId="0" borderId="10" xfId="255" applyFont="1" applyBorder="1" applyAlignment="1">
      <alignment horizontal="center"/>
    </xf>
    <xf numFmtId="164" fontId="13" fillId="0" borderId="14" xfId="255" applyFont="1" applyBorder="1" applyAlignment="1">
      <alignment horizontal="center"/>
    </xf>
    <xf numFmtId="2" fontId="10" fillId="0" borderId="11" xfId="255" applyNumberFormat="1" applyFont="1" applyBorder="1" applyAlignment="1">
      <alignment horizontal="center"/>
    </xf>
    <xf numFmtId="2" fontId="10" fillId="0" borderId="15" xfId="255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2" fillId="0" borderId="11" xfId="1" applyNumberFormat="1" applyFont="1" applyBorder="1" applyAlignment="1">
      <alignment horizontal="center"/>
    </xf>
    <xf numFmtId="2" fontId="12" fillId="0" borderId="15" xfId="1" applyNumberFormat="1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2" fontId="34" fillId="0" borderId="11" xfId="1" applyNumberFormat="1" applyFont="1" applyBorder="1" applyAlignment="1">
      <alignment horizontal="center"/>
    </xf>
    <xf numFmtId="2" fontId="34" fillId="0" borderId="15" xfId="1" applyNumberFormat="1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64" fontId="32" fillId="0" borderId="10" xfId="1" applyFont="1" applyBorder="1" applyAlignment="1">
      <alignment horizontal="center"/>
    </xf>
    <xf numFmtId="164" fontId="32" fillId="0" borderId="14" xfId="1" applyFont="1" applyBorder="1" applyAlignment="1">
      <alignment horizontal="center"/>
    </xf>
    <xf numFmtId="165" fontId="28" fillId="0" borderId="6" xfId="0" applyNumberFormat="1" applyFont="1" applyBorder="1" applyAlignment="1">
      <alignment horizontal="center"/>
    </xf>
    <xf numFmtId="165" fontId="28" fillId="0" borderId="19" xfId="0" applyNumberFormat="1" applyFont="1" applyBorder="1" applyAlignment="1">
      <alignment horizontal="center"/>
    </xf>
    <xf numFmtId="2" fontId="33" fillId="0" borderId="11" xfId="1" applyNumberFormat="1" applyFont="1" applyBorder="1" applyAlignment="1">
      <alignment horizontal="center"/>
    </xf>
    <xf numFmtId="2" fontId="33" fillId="0" borderId="15" xfId="1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8" fillId="0" borderId="18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10" fillId="0" borderId="22" xfId="0" applyFont="1" applyBorder="1" applyAlignment="1">
      <alignment horizontal="center"/>
    </xf>
    <xf numFmtId="12" fontId="8" fillId="0" borderId="0" xfId="0" applyNumberFormat="1" applyFont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66" fontId="8" fillId="0" borderId="16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vertical="center"/>
    </xf>
    <xf numFmtId="166" fontId="8" fillId="0" borderId="1" xfId="0" applyNumberFormat="1" applyFont="1" applyBorder="1" applyAlignment="1">
      <alignment horizontal="center" vertical="center"/>
    </xf>
    <xf numFmtId="166" fontId="8" fillId="0" borderId="21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</cellXfs>
  <cellStyles count="272">
    <cellStyle name="Comma" xfId="1" builtinId="3"/>
    <cellStyle name="Comma 2" xfId="255" xr:uid="{00000000-0005-0000-0000-000001000000}"/>
    <cellStyle name="Followed Hyperlink" xfId="43" builtinId="9" hidden="1"/>
    <cellStyle name="Followed Hyperlink" xfId="53" builtinId="9" hidden="1"/>
    <cellStyle name="Followed Hyperlink" xfId="65" builtinId="9" hidden="1"/>
    <cellStyle name="Followed Hyperlink" xfId="39" builtinId="9" hidden="1"/>
    <cellStyle name="Followed Hyperlink" xfId="13" builtinId="9" hidden="1"/>
    <cellStyle name="Followed Hyperlink" xfId="15" builtinId="9" hidden="1"/>
    <cellStyle name="Followed Hyperlink" xfId="3" builtinId="9" hidden="1"/>
    <cellStyle name="Followed Hyperlink" xfId="7" builtinId="9" hidden="1"/>
    <cellStyle name="Followed Hyperlink" xfId="17" builtinId="9" hidden="1"/>
    <cellStyle name="Followed Hyperlink" xfId="31" builtinId="9" hidden="1"/>
    <cellStyle name="Followed Hyperlink" xfId="63" builtinId="9" hidden="1"/>
    <cellStyle name="Followed Hyperlink" xfId="57" builtinId="9" hidden="1"/>
    <cellStyle name="Followed Hyperlink" xfId="45" builtinId="9" hidden="1"/>
    <cellStyle name="Followed Hyperlink" xfId="35" builtinId="9" hidden="1"/>
    <cellStyle name="Followed Hyperlink" xfId="25" builtinId="9" hidden="1"/>
    <cellStyle name="Followed Hyperlink" xfId="79" builtinId="9" hidden="1"/>
    <cellStyle name="Followed Hyperlink" xfId="95" builtinId="9" hidden="1"/>
    <cellStyle name="Followed Hyperlink" xfId="111" builtinId="9" hidden="1"/>
    <cellStyle name="Followed Hyperlink" xfId="127" builtinId="9" hidden="1"/>
    <cellStyle name="Followed Hyperlink" xfId="144" builtinId="9" hidden="1"/>
    <cellStyle name="Followed Hyperlink" xfId="160" builtinId="9" hidden="1"/>
    <cellStyle name="Followed Hyperlink" xfId="176" builtinId="9" hidden="1"/>
    <cellStyle name="Followed Hyperlink" xfId="192" builtinId="9" hidden="1"/>
    <cellStyle name="Followed Hyperlink" xfId="208" builtinId="9" hidden="1"/>
    <cellStyle name="Followed Hyperlink" xfId="224" builtinId="9" hidden="1"/>
    <cellStyle name="Followed Hyperlink" xfId="240" builtinId="9" hidden="1"/>
    <cellStyle name="Followed Hyperlink" xfId="246" builtinId="9" hidden="1"/>
    <cellStyle name="Followed Hyperlink" xfId="230" builtinId="9" hidden="1"/>
    <cellStyle name="Followed Hyperlink" xfId="214" builtinId="9" hidden="1"/>
    <cellStyle name="Followed Hyperlink" xfId="198" builtinId="9" hidden="1"/>
    <cellStyle name="Followed Hyperlink" xfId="117" builtinId="9" hidden="1"/>
    <cellStyle name="Followed Hyperlink" xfId="130" builtinId="9" hidden="1"/>
    <cellStyle name="Followed Hyperlink" xfId="138" builtinId="9" hidden="1"/>
    <cellStyle name="Followed Hyperlink" xfId="150" builtinId="9" hidden="1"/>
    <cellStyle name="Followed Hyperlink" xfId="162" builtinId="9" hidden="1"/>
    <cellStyle name="Followed Hyperlink" xfId="170" builtinId="9" hidden="1"/>
    <cellStyle name="Followed Hyperlink" xfId="182" builtinId="9" hidden="1"/>
    <cellStyle name="Followed Hyperlink" xfId="194" builtinId="9" hidden="1"/>
    <cellStyle name="Followed Hyperlink" xfId="174" builtinId="9" hidden="1"/>
    <cellStyle name="Followed Hyperlink" xfId="142" builtinId="9" hidden="1"/>
    <cellStyle name="Followed Hyperlink" xfId="109" builtinId="9" hidden="1"/>
    <cellStyle name="Followed Hyperlink" xfId="89" builtinId="9" hidden="1"/>
    <cellStyle name="Followed Hyperlink" xfId="101" builtinId="9" hidden="1"/>
    <cellStyle name="Followed Hyperlink" xfId="93" builtinId="9" hidden="1"/>
    <cellStyle name="Followed Hyperlink" xfId="81" builtinId="9" hidden="1"/>
    <cellStyle name="Followed Hyperlink" xfId="69" builtinId="9" hidden="1"/>
    <cellStyle name="Followed Hyperlink" xfId="73" builtinId="9" hidden="1"/>
    <cellStyle name="Followed Hyperlink" xfId="77" builtinId="9" hidden="1"/>
    <cellStyle name="Followed Hyperlink" xfId="105" builtinId="9" hidden="1"/>
    <cellStyle name="Followed Hyperlink" xfId="97" builtinId="9" hidden="1"/>
    <cellStyle name="Followed Hyperlink" xfId="85" builtinId="9" hidden="1"/>
    <cellStyle name="Followed Hyperlink" xfId="125" builtinId="9" hidden="1"/>
    <cellStyle name="Followed Hyperlink" xfId="158" builtinId="9" hidden="1"/>
    <cellStyle name="Followed Hyperlink" xfId="190" builtinId="9" hidden="1"/>
    <cellStyle name="Followed Hyperlink" xfId="186" builtinId="9" hidden="1"/>
    <cellStyle name="Followed Hyperlink" xfId="178" builtinId="9" hidden="1"/>
    <cellStyle name="Followed Hyperlink" xfId="166" builtinId="9" hidden="1"/>
    <cellStyle name="Followed Hyperlink" xfId="154" builtinId="9" hidden="1"/>
    <cellStyle name="Followed Hyperlink" xfId="146" builtinId="9" hidden="1"/>
    <cellStyle name="Followed Hyperlink" xfId="134" builtinId="9" hidden="1"/>
    <cellStyle name="Followed Hyperlink" xfId="121" builtinId="9" hidden="1"/>
    <cellStyle name="Followed Hyperlink" xfId="113" builtinId="9" hidden="1"/>
    <cellStyle name="Followed Hyperlink" xfId="206" builtinId="9" hidden="1"/>
    <cellStyle name="Followed Hyperlink" xfId="222" builtinId="9" hidden="1"/>
    <cellStyle name="Followed Hyperlink" xfId="238" builtinId="9" hidden="1"/>
    <cellStyle name="Followed Hyperlink" xfId="248" builtinId="9" hidden="1"/>
    <cellStyle name="Followed Hyperlink" xfId="232" builtinId="9" hidden="1"/>
    <cellStyle name="Followed Hyperlink" xfId="216" builtinId="9" hidden="1"/>
    <cellStyle name="Followed Hyperlink" xfId="200" builtinId="9" hidden="1"/>
    <cellStyle name="Followed Hyperlink" xfId="184" builtinId="9" hidden="1"/>
    <cellStyle name="Followed Hyperlink" xfId="168" builtinId="9" hidden="1"/>
    <cellStyle name="Followed Hyperlink" xfId="152" builtinId="9" hidden="1"/>
    <cellStyle name="Followed Hyperlink" xfId="136" builtinId="9" hidden="1"/>
    <cellStyle name="Followed Hyperlink" xfId="119" builtinId="9" hidden="1"/>
    <cellStyle name="Followed Hyperlink" xfId="103" builtinId="9" hidden="1"/>
    <cellStyle name="Followed Hyperlink" xfId="87" builtinId="9" hidden="1"/>
    <cellStyle name="Followed Hyperlink" xfId="71" builtinId="9" hidden="1"/>
    <cellStyle name="Followed Hyperlink" xfId="29" builtinId="9" hidden="1"/>
    <cellStyle name="Followed Hyperlink" xfId="41" builtinId="9" hidden="1"/>
    <cellStyle name="Followed Hyperlink" xfId="51" builtinId="9" hidden="1"/>
    <cellStyle name="Followed Hyperlink" xfId="61" builtinId="9" hidden="1"/>
    <cellStyle name="Followed Hyperlink" xfId="47" builtinId="9" hidden="1"/>
    <cellStyle name="Followed Hyperlink" xfId="11" builtinId="9" hidden="1"/>
    <cellStyle name="Followed Hyperlink" xfId="21" builtinId="9" hidden="1"/>
    <cellStyle name="Followed Hyperlink" xfId="5" builtinId="9" hidden="1"/>
    <cellStyle name="Followed Hyperlink" xfId="9" builtinId="9" hidden="1"/>
    <cellStyle name="Followed Hyperlink" xfId="19" builtinId="9" hidden="1"/>
    <cellStyle name="Followed Hyperlink" xfId="23" builtinId="9" hidden="1"/>
    <cellStyle name="Followed Hyperlink" xfId="55" builtinId="9" hidden="1"/>
    <cellStyle name="Followed Hyperlink" xfId="59" builtinId="9" hidden="1"/>
    <cellStyle name="Followed Hyperlink" xfId="49" builtinId="9" hidden="1"/>
    <cellStyle name="Followed Hyperlink" xfId="37" builtinId="9" hidden="1"/>
    <cellStyle name="Followed Hyperlink" xfId="212" builtinId="9" hidden="1"/>
    <cellStyle name="Followed Hyperlink" xfId="204" builtinId="9" hidden="1"/>
    <cellStyle name="Followed Hyperlink" xfId="196" builtinId="9" hidden="1"/>
    <cellStyle name="Followed Hyperlink" xfId="180" builtinId="9" hidden="1"/>
    <cellStyle name="Followed Hyperlink" xfId="172" builtinId="9" hidden="1"/>
    <cellStyle name="Followed Hyperlink" xfId="164" builtinId="9" hidden="1"/>
    <cellStyle name="Followed Hyperlink" xfId="148" builtinId="9" hidden="1"/>
    <cellStyle name="Followed Hyperlink" xfId="140" builtinId="9" hidden="1"/>
    <cellStyle name="Followed Hyperlink" xfId="132" builtinId="9" hidden="1"/>
    <cellStyle name="Followed Hyperlink" xfId="115" builtinId="9" hidden="1"/>
    <cellStyle name="Followed Hyperlink" xfId="107" builtinId="9" hidden="1"/>
    <cellStyle name="Followed Hyperlink" xfId="99" builtinId="9" hidden="1"/>
    <cellStyle name="Followed Hyperlink" xfId="83" builtinId="9" hidden="1"/>
    <cellStyle name="Followed Hyperlink" xfId="75" builtinId="9" hidden="1"/>
    <cellStyle name="Followed Hyperlink" xfId="67" builtinId="9" hidden="1"/>
    <cellStyle name="Followed Hyperlink" xfId="33" builtinId="9" hidden="1"/>
    <cellStyle name="Followed Hyperlink" xfId="27" builtinId="9" hidden="1"/>
    <cellStyle name="Followed Hyperlink" xfId="91" builtinId="9" hidden="1"/>
    <cellStyle name="Followed Hyperlink" xfId="123" builtinId="9" hidden="1"/>
    <cellStyle name="Followed Hyperlink" xfId="156" builtinId="9" hidden="1"/>
    <cellStyle name="Followed Hyperlink" xfId="188" builtinId="9" hidden="1"/>
    <cellStyle name="Followed Hyperlink" xfId="220" builtinId="9" hidden="1"/>
    <cellStyle name="Followed Hyperlink" xfId="234" builtinId="9" hidden="1"/>
    <cellStyle name="Followed Hyperlink" xfId="242" builtinId="9" hidden="1"/>
    <cellStyle name="Followed Hyperlink" xfId="244" builtinId="9" hidden="1"/>
    <cellStyle name="Followed Hyperlink" xfId="236" builtinId="9" hidden="1"/>
    <cellStyle name="Followed Hyperlink" xfId="228" builtinId="9" hidden="1"/>
    <cellStyle name="Followed Hyperlink" xfId="250" builtinId="9" hidden="1"/>
    <cellStyle name="Followed Hyperlink" xfId="218" builtinId="9" hidden="1"/>
    <cellStyle name="Followed Hyperlink" xfId="226" builtinId="9" hidden="1"/>
    <cellStyle name="Followed Hyperlink" xfId="210" builtinId="9" hidden="1"/>
    <cellStyle name="Followed Hyperlink" xfId="202" builtinId="9" hidden="1"/>
    <cellStyle name="Followed Hyperlink" xfId="252" builtinId="9" hidden="1"/>
    <cellStyle name="Followed Hyperlink" xfId="254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Hyperlink" xfId="16" builtinId="8" hidden="1"/>
    <cellStyle name="Hyperlink" xfId="46" builtinId="8" hidden="1"/>
    <cellStyle name="Hyperlink" xfId="30" builtinId="8" hidden="1"/>
    <cellStyle name="Hyperlink" xfId="58" builtinId="8" hidden="1"/>
    <cellStyle name="Hyperlink" xfId="108" builtinId="8" hidden="1"/>
    <cellStyle name="Hyperlink" xfId="88" builtinId="8" hidden="1"/>
    <cellStyle name="Hyperlink" xfId="80" builtinId="8" hidden="1"/>
    <cellStyle name="Hyperlink" xfId="70" builtinId="8" hidden="1"/>
    <cellStyle name="Hyperlink" xfId="52" builtinId="8" hidden="1"/>
    <cellStyle name="Hyperlink" xfId="122" builtinId="8" hidden="1"/>
    <cellStyle name="Hyperlink" xfId="155" builtinId="8" hidden="1"/>
    <cellStyle name="Hyperlink" xfId="219" builtinId="8" hidden="1"/>
    <cellStyle name="Hyperlink" xfId="173" builtinId="8" hidden="1"/>
    <cellStyle name="Hyperlink" xfId="175" builtinId="8" hidden="1"/>
    <cellStyle name="Hyperlink" xfId="181" builtinId="8" hidden="1"/>
    <cellStyle name="Hyperlink" xfId="183" builtinId="8" hidden="1"/>
    <cellStyle name="Hyperlink" xfId="189" builtinId="8" hidden="1"/>
    <cellStyle name="Hyperlink" xfId="193" builtinId="8" hidden="1"/>
    <cellStyle name="Hyperlink" xfId="197" builtinId="8" hidden="1"/>
    <cellStyle name="Hyperlink" xfId="199" builtinId="8" hidden="1"/>
    <cellStyle name="Hyperlink" xfId="205" builtinId="8" hidden="1"/>
    <cellStyle name="Hyperlink" xfId="209" builtinId="8" hidden="1"/>
    <cellStyle name="Hyperlink" xfId="213" builtinId="8" hidden="1"/>
    <cellStyle name="Hyperlink" xfId="217" builtinId="8" hidden="1"/>
    <cellStyle name="Hyperlink" xfId="221" builtinId="8" hidden="1"/>
    <cellStyle name="Hyperlink" xfId="223" builtinId="8" hidden="1"/>
    <cellStyle name="Hyperlink" xfId="231" builtinId="8" hidden="1"/>
    <cellStyle name="Hyperlink" xfId="233" builtinId="8" hidden="1"/>
    <cellStyle name="Hyperlink" xfId="237" builtinId="8" hidden="1"/>
    <cellStyle name="Hyperlink" xfId="241" builtinId="8" hidden="1"/>
    <cellStyle name="Hyperlink" xfId="245" builtinId="8" hidden="1"/>
    <cellStyle name="Hyperlink" xfId="247" builtinId="8" hidden="1"/>
    <cellStyle name="Hyperlink" xfId="249" builtinId="8" hidden="1"/>
    <cellStyle name="Hyperlink" xfId="229" builtinId="8" hidden="1"/>
    <cellStyle name="Hyperlink" xfId="207" builtinId="8" hidden="1"/>
    <cellStyle name="Hyperlink" xfId="137" builtinId="8" hidden="1"/>
    <cellStyle name="Hyperlink" xfId="141" builtinId="8" hidden="1"/>
    <cellStyle name="Hyperlink" xfId="145" builtinId="8" hidden="1"/>
    <cellStyle name="Hyperlink" xfId="151" builtinId="8" hidden="1"/>
    <cellStyle name="Hyperlink" xfId="153" builtinId="8" hidden="1"/>
    <cellStyle name="Hyperlink" xfId="157" builtinId="8" hidden="1"/>
    <cellStyle name="Hyperlink" xfId="161" builtinId="8" hidden="1"/>
    <cellStyle name="Hyperlink" xfId="165" builtinId="8" hidden="1"/>
    <cellStyle name="Hyperlink" xfId="167" builtinId="8" hidden="1"/>
    <cellStyle name="Hyperlink" xfId="143" builtinId="8" hidden="1"/>
    <cellStyle name="Hyperlink" xfId="124" builtinId="8" hidden="1"/>
    <cellStyle name="Hyperlink" xfId="126" builtinId="8" hidden="1"/>
    <cellStyle name="Hyperlink" xfId="133" builtinId="8" hidden="1"/>
    <cellStyle name="Hyperlink" xfId="135" builtinId="8" hidden="1"/>
    <cellStyle name="Hyperlink" xfId="116" builtinId="8" hidden="1"/>
    <cellStyle name="Hyperlink" xfId="120" builtinId="8" hidden="1"/>
    <cellStyle name="Hyperlink" xfId="112" builtinId="8" hidden="1"/>
    <cellStyle name="Hyperlink" xfId="110" builtinId="8" hidden="1"/>
    <cellStyle name="Hyperlink" xfId="118" builtinId="8" hidden="1"/>
    <cellStyle name="Hyperlink" xfId="129" builtinId="8" hidden="1"/>
    <cellStyle name="Hyperlink" xfId="169" builtinId="8" hidden="1"/>
    <cellStyle name="Hyperlink" xfId="159" builtinId="8" hidden="1"/>
    <cellStyle name="Hyperlink" xfId="149" builtinId="8" hidden="1"/>
    <cellStyle name="Hyperlink" xfId="185" builtinId="8" hidden="1"/>
    <cellStyle name="Hyperlink" xfId="243" builtinId="8" hidden="1"/>
    <cellStyle name="Hyperlink" xfId="239" builtinId="8" hidden="1"/>
    <cellStyle name="Hyperlink" xfId="225" builtinId="8" hidden="1"/>
    <cellStyle name="Hyperlink" xfId="215" builtinId="8" hidden="1"/>
    <cellStyle name="Hyperlink" xfId="201" builtinId="8" hidden="1"/>
    <cellStyle name="Hyperlink" xfId="191" builtinId="8" hidden="1"/>
    <cellStyle name="Hyperlink" xfId="177" builtinId="8" hidden="1"/>
    <cellStyle name="Hyperlink" xfId="187" builtinId="8" hidden="1"/>
    <cellStyle name="Hyperlink" xfId="62" builtinId="8" hidden="1"/>
    <cellStyle name="Hyperlink" xfId="98" builtinId="8" hidden="1"/>
    <cellStyle name="Hyperlink" xfId="38" builtinId="8" hidden="1"/>
    <cellStyle name="Hyperlink" xfId="82" builtinId="8" hidden="1"/>
    <cellStyle name="Hyperlink" xfId="84" builtinId="8" hidden="1"/>
    <cellStyle name="Hyperlink" xfId="86" builtinId="8" hidden="1"/>
    <cellStyle name="Hyperlink" xfId="92" builtinId="8" hidden="1"/>
    <cellStyle name="Hyperlink" xfId="94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90" builtinId="8" hidden="1"/>
    <cellStyle name="Hyperlink" xfId="74" builtinId="8" hidden="1"/>
    <cellStyle name="Hyperlink" xfId="22" builtinId="8" hidden="1"/>
    <cellStyle name="Hyperlink" xfId="28" builtinId="8" hidden="1"/>
    <cellStyle name="Hyperlink" xfId="32" builtinId="8" hidden="1"/>
    <cellStyle name="Hyperlink" xfId="34" builtinId="8" hidden="1"/>
    <cellStyle name="Hyperlink" xfId="36" builtinId="8" hidden="1"/>
    <cellStyle name="Hyperlink" xfId="40" builtinId="8" hidden="1"/>
    <cellStyle name="Hyperlink" xfId="42" builtinId="8" hidden="1"/>
    <cellStyle name="Hyperlink" xfId="44" builtinId="8" hidden="1"/>
    <cellStyle name="Hyperlink" xfId="12" builtinId="8" hidden="1"/>
    <cellStyle name="Hyperlink" xfId="14" builtinId="8" hidden="1"/>
    <cellStyle name="Hyperlink" xfId="18" builtinId="8" hidden="1"/>
    <cellStyle name="Hyperlink" xfId="20" builtinId="8" hidden="1"/>
    <cellStyle name="Hyperlink" xfId="6" builtinId="8" hidden="1"/>
    <cellStyle name="Hyperlink" xfId="10" builtinId="8" hidden="1"/>
    <cellStyle name="Hyperlink" xfId="4" builtinId="8" hidden="1"/>
    <cellStyle name="Hyperlink" xfId="8" builtinId="8" hidden="1"/>
    <cellStyle name="Hyperlink" xfId="2" builtinId="8" hidden="1"/>
    <cellStyle name="Hyperlink" xfId="26" builtinId="8" hidden="1"/>
    <cellStyle name="Hyperlink" xfId="24" builtinId="8" hidden="1"/>
    <cellStyle name="Hyperlink" xfId="96" builtinId="8" hidden="1"/>
    <cellStyle name="Hyperlink" xfId="131" builtinId="8" hidden="1"/>
    <cellStyle name="Hyperlink" xfId="114" builtinId="8" hidden="1"/>
    <cellStyle name="Hyperlink" xfId="50" builtinId="8" hidden="1"/>
    <cellStyle name="Hyperlink" xfId="54" builtinId="8" hidden="1"/>
    <cellStyle name="Hyperlink" xfId="56" builtinId="8" hidden="1"/>
    <cellStyle name="Hyperlink" xfId="60" builtinId="8" hidden="1"/>
    <cellStyle name="Hyperlink" xfId="64" builtinId="8" hidden="1"/>
    <cellStyle name="Hyperlink" xfId="66" builtinId="8" hidden="1"/>
    <cellStyle name="Hyperlink" xfId="68" builtinId="8" hidden="1"/>
    <cellStyle name="Hyperlink" xfId="72" builtinId="8" hidden="1"/>
    <cellStyle name="Hyperlink" xfId="76" builtinId="8" hidden="1"/>
    <cellStyle name="Hyperlink" xfId="78" builtinId="8" hidden="1"/>
    <cellStyle name="Hyperlink" xfId="48" builtinId="8" hidden="1"/>
    <cellStyle name="Hyperlink" xfId="179" builtinId="8" hidden="1"/>
    <cellStyle name="Hyperlink" xfId="171" builtinId="8" hidden="1"/>
    <cellStyle name="Hyperlink" xfId="163" builtinId="8" hidden="1"/>
    <cellStyle name="Hyperlink" xfId="147" builtinId="8" hidden="1"/>
    <cellStyle name="Hyperlink" xfId="139" builtinId="8" hidden="1"/>
    <cellStyle name="Hyperlink" xfId="211" builtinId="8" hidden="1"/>
    <cellStyle name="Hyperlink" xfId="203" builtinId="8" hidden="1"/>
    <cellStyle name="Hyperlink" xfId="195" builtinId="8" hidden="1"/>
    <cellStyle name="Hyperlink" xfId="227" builtinId="8" hidden="1"/>
    <cellStyle name="Hyperlink" xfId="235" builtinId="8" hidden="1"/>
    <cellStyle name="Hyperlink" xfId="251" builtinId="8" hidden="1"/>
    <cellStyle name="Hyperlink" xfId="253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Normal" xfId="0" builtinId="0"/>
    <cellStyle name="Percent" xfId="128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tiff"/><Relationship Id="rId2" Type="http://schemas.openxmlformats.org/officeDocument/2006/relationships/image" Target="../media/image3.png"/><Relationship Id="rId1" Type="http://schemas.openxmlformats.org/officeDocument/2006/relationships/image" Target="../media/image6.tiff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.tiff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.tiff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http://screenexcellence.com/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2460551</xdr:colOff>
      <xdr:row>1</xdr:row>
      <xdr:rowOff>10580</xdr:rowOff>
    </xdr:from>
    <xdr:to>
      <xdr:col>2</xdr:col>
      <xdr:colOff>4506608</xdr:colOff>
      <xdr:row>7</xdr:row>
      <xdr:rowOff>190496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34D9FF-8019-A542-A5A1-DA9438CD6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2718" y="211663"/>
          <a:ext cx="2046057" cy="13864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63</xdr:row>
      <xdr:rowOff>126999</xdr:rowOff>
    </xdr:from>
    <xdr:to>
      <xdr:col>3</xdr:col>
      <xdr:colOff>849229</xdr:colOff>
      <xdr:row>79</xdr:row>
      <xdr:rowOff>76200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4600" y="11925299"/>
          <a:ext cx="2017629" cy="3378201"/>
        </a:xfrm>
        <a:prstGeom prst="rect">
          <a:avLst/>
        </a:prstGeom>
      </xdr:spPr>
    </xdr:pic>
    <xdr:clientData/>
  </xdr:twoCellAnchor>
  <xdr:twoCellAnchor>
    <xdr:from>
      <xdr:col>0</xdr:col>
      <xdr:colOff>477520</xdr:colOff>
      <xdr:row>6</xdr:row>
      <xdr:rowOff>77816</xdr:rowOff>
    </xdr:from>
    <xdr:to>
      <xdr:col>9</xdr:col>
      <xdr:colOff>243840</xdr:colOff>
      <xdr:row>27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520" y="1106516"/>
          <a:ext cx="7424420" cy="4280824"/>
        </a:xfrm>
        <a:prstGeom prst="rect">
          <a:avLst/>
        </a:prstGeom>
      </xdr:spPr>
    </xdr:pic>
    <xdr:clientData/>
  </xdr:twoCellAnchor>
  <xdr:twoCellAnchor>
    <xdr:from>
      <xdr:col>1</xdr:col>
      <xdr:colOff>579120</xdr:colOff>
      <xdr:row>15</xdr:row>
      <xdr:rowOff>10160</xdr:rowOff>
    </xdr:from>
    <xdr:to>
      <xdr:col>8</xdr:col>
      <xdr:colOff>172720</xdr:colOff>
      <xdr:row>15</xdr:row>
      <xdr:rowOff>20320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 flipV="1">
          <a:off x="1341120" y="2867660"/>
          <a:ext cx="5664200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571138</xdr:colOff>
      <xdr:row>13</xdr:row>
      <xdr:rowOff>79832</xdr:rowOff>
    </xdr:from>
    <xdr:to>
      <xdr:col>8</xdr:col>
      <xdr:colOff>205378</xdr:colOff>
      <xdr:row>26</xdr:row>
      <xdr:rowOff>39192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CxnSpPr/>
      </xdr:nvCxnSpPr>
      <xdr:spPr>
        <a:xfrm flipV="1">
          <a:off x="1333138" y="2530932"/>
          <a:ext cx="5704840" cy="26009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469900</xdr:colOff>
      <xdr:row>7</xdr:row>
      <xdr:rowOff>150584</xdr:rowOff>
    </xdr:from>
    <xdr:to>
      <xdr:col>10</xdr:col>
      <xdr:colOff>515619</xdr:colOff>
      <xdr:row>26</xdr:row>
      <xdr:rowOff>139700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8953500" y="1788884"/>
          <a:ext cx="45719" cy="3849916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76200</xdr:colOff>
      <xdr:row>6</xdr:row>
      <xdr:rowOff>127000</xdr:rowOff>
    </xdr:from>
    <xdr:to>
      <xdr:col>10</xdr:col>
      <xdr:colOff>91440</xdr:colOff>
      <xdr:row>27</xdr:row>
      <xdr:rowOff>63500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CxnSpPr/>
      </xdr:nvCxnSpPr>
      <xdr:spPr>
        <a:xfrm>
          <a:off x="8559800" y="1358900"/>
          <a:ext cx="15240" cy="4203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13</xdr:row>
      <xdr:rowOff>81280</xdr:rowOff>
    </xdr:from>
    <xdr:to>
      <xdr:col>3</xdr:col>
      <xdr:colOff>91440</xdr:colOff>
      <xdr:row>26</xdr:row>
      <xdr:rowOff>127000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H="1">
          <a:off x="2489200" y="2532380"/>
          <a:ext cx="15240" cy="2687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7</xdr:row>
      <xdr:rowOff>25400</xdr:rowOff>
    </xdr:from>
    <xdr:to>
      <xdr:col>10</xdr:col>
      <xdr:colOff>622300</xdr:colOff>
      <xdr:row>7</xdr:row>
      <xdr:rowOff>25400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/>
      </xdr:nvCxnSpPr>
      <xdr:spPr>
        <a:xfrm>
          <a:off x="8636000" y="1460500"/>
          <a:ext cx="469900" cy="0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406400</xdr:colOff>
      <xdr:row>26</xdr:row>
      <xdr:rowOff>199571</xdr:rowOff>
    </xdr:from>
    <xdr:to>
      <xdr:col>10</xdr:col>
      <xdr:colOff>584200</xdr:colOff>
      <xdr:row>27</xdr:row>
      <xdr:rowOff>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V="1">
          <a:off x="8890000" y="5698671"/>
          <a:ext cx="177800" cy="3629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471714</xdr:colOff>
      <xdr:row>4</xdr:row>
      <xdr:rowOff>139700</xdr:rowOff>
    </xdr:from>
    <xdr:to>
      <xdr:col>9</xdr:col>
      <xdr:colOff>208643</xdr:colOff>
      <xdr:row>4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CxnSpPr/>
      </xdr:nvCxnSpPr>
      <xdr:spPr>
        <a:xfrm>
          <a:off x="471714" y="1117600"/>
          <a:ext cx="7395029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680720</xdr:colOff>
      <xdr:row>7</xdr:row>
      <xdr:rowOff>170180</xdr:rowOff>
    </xdr:from>
    <xdr:to>
      <xdr:col>10</xdr:col>
      <xdr:colOff>685800</xdr:colOff>
      <xdr:row>27</xdr:row>
      <xdr:rowOff>35560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CxnSpPr/>
      </xdr:nvCxnSpPr>
      <xdr:spPr>
        <a:xfrm flipH="1">
          <a:off x="9164320" y="1605280"/>
          <a:ext cx="5080" cy="392938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172720</xdr:colOff>
      <xdr:row>19</xdr:row>
      <xdr:rowOff>193040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4528820" y="3863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10</xdr:col>
      <xdr:colOff>266700</xdr:colOff>
      <xdr:row>5</xdr:row>
      <xdr:rowOff>63500</xdr:rowOff>
    </xdr:from>
    <xdr:to>
      <xdr:col>10</xdr:col>
      <xdr:colOff>266700</xdr:colOff>
      <xdr:row>6</xdr:row>
      <xdr:rowOff>101600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CxnSpPr/>
      </xdr:nvCxnSpPr>
      <xdr:spPr>
        <a:xfrm flipV="1">
          <a:off x="8750300" y="1092200"/>
          <a:ext cx="0" cy="2413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520700</xdr:colOff>
      <xdr:row>5</xdr:row>
      <xdr:rowOff>63500</xdr:rowOff>
    </xdr:from>
    <xdr:to>
      <xdr:col>10</xdr:col>
      <xdr:colOff>520700</xdr:colOff>
      <xdr:row>6</xdr:row>
      <xdr:rowOff>101600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CxnSpPr/>
      </xdr:nvCxnSpPr>
      <xdr:spPr>
        <a:xfrm flipV="1">
          <a:off x="9004300" y="1092200"/>
          <a:ext cx="0" cy="2413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127000</xdr:colOff>
      <xdr:row>5</xdr:row>
      <xdr:rowOff>25400</xdr:rowOff>
    </xdr:from>
    <xdr:to>
      <xdr:col>9</xdr:col>
      <xdr:colOff>127000</xdr:colOff>
      <xdr:row>6</xdr:row>
      <xdr:rowOff>63500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CxnSpPr/>
      </xdr:nvCxnSpPr>
      <xdr:spPr>
        <a:xfrm flipV="1">
          <a:off x="7785100" y="1257300"/>
          <a:ext cx="0" cy="2413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558800</xdr:colOff>
      <xdr:row>5</xdr:row>
      <xdr:rowOff>25400</xdr:rowOff>
    </xdr:from>
    <xdr:to>
      <xdr:col>0</xdr:col>
      <xdr:colOff>558800</xdr:colOff>
      <xdr:row>6</xdr:row>
      <xdr:rowOff>63500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CxnSpPr/>
      </xdr:nvCxnSpPr>
      <xdr:spPr>
        <a:xfrm flipV="1">
          <a:off x="558800" y="850900"/>
          <a:ext cx="0" cy="2413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101600</xdr:colOff>
      <xdr:row>5</xdr:row>
      <xdr:rowOff>38100</xdr:rowOff>
    </xdr:from>
    <xdr:to>
      <xdr:col>10</xdr:col>
      <xdr:colOff>698500</xdr:colOff>
      <xdr:row>5</xdr:row>
      <xdr:rowOff>38100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CxnSpPr/>
      </xdr:nvCxnSpPr>
      <xdr:spPr>
        <a:xfrm>
          <a:off x="8585200" y="1066800"/>
          <a:ext cx="59690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763814</xdr:colOff>
      <xdr:row>67</xdr:row>
      <xdr:rowOff>76200</xdr:rowOff>
    </xdr:from>
    <xdr:to>
      <xdr:col>3</xdr:col>
      <xdr:colOff>571500</xdr:colOff>
      <xdr:row>67</xdr:row>
      <xdr:rowOff>76200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CxnSpPr/>
      </xdr:nvCxnSpPr>
      <xdr:spPr>
        <a:xfrm>
          <a:off x="1525814" y="12712700"/>
          <a:ext cx="1458686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609600</xdr:colOff>
      <xdr:row>61</xdr:row>
      <xdr:rowOff>25400</xdr:rowOff>
    </xdr:from>
    <xdr:to>
      <xdr:col>9</xdr:col>
      <xdr:colOff>571500</xdr:colOff>
      <xdr:row>80</xdr:row>
      <xdr:rowOff>139700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40200" y="11417300"/>
          <a:ext cx="4089400" cy="4152900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63</xdr:row>
      <xdr:rowOff>50800</xdr:rowOff>
    </xdr:from>
    <xdr:to>
      <xdr:col>3</xdr:col>
      <xdr:colOff>622300</xdr:colOff>
      <xdr:row>63</xdr:row>
      <xdr:rowOff>50800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CxnSpPr/>
      </xdr:nvCxnSpPr>
      <xdr:spPr>
        <a:xfrm>
          <a:off x="1485900" y="11849100"/>
          <a:ext cx="15494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431800</xdr:colOff>
      <xdr:row>68</xdr:row>
      <xdr:rowOff>127000</xdr:rowOff>
    </xdr:from>
    <xdr:to>
      <xdr:col>1</xdr:col>
      <xdr:colOff>431800</xdr:colOff>
      <xdr:row>72</xdr:row>
      <xdr:rowOff>165100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CxnSpPr/>
      </xdr:nvCxnSpPr>
      <xdr:spPr>
        <a:xfrm flipV="1">
          <a:off x="1193800" y="12966700"/>
          <a:ext cx="0" cy="1003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508000</xdr:colOff>
      <xdr:row>74</xdr:row>
      <xdr:rowOff>101600</xdr:rowOff>
    </xdr:from>
    <xdr:to>
      <xdr:col>3</xdr:col>
      <xdr:colOff>850900</xdr:colOff>
      <xdr:row>74</xdr:row>
      <xdr:rowOff>114300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CxnSpPr/>
      </xdr:nvCxnSpPr>
      <xdr:spPr>
        <a:xfrm>
          <a:off x="1270000" y="14312900"/>
          <a:ext cx="19939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558800</xdr:colOff>
      <xdr:row>72</xdr:row>
      <xdr:rowOff>165100</xdr:rowOff>
    </xdr:from>
    <xdr:to>
      <xdr:col>3</xdr:col>
      <xdr:colOff>812800</xdr:colOff>
      <xdr:row>72</xdr:row>
      <xdr:rowOff>177800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CxnSpPr/>
      </xdr:nvCxnSpPr>
      <xdr:spPr>
        <a:xfrm>
          <a:off x="1320800" y="13970000"/>
          <a:ext cx="1905000" cy="1270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622300</xdr:colOff>
      <xdr:row>0</xdr:row>
      <xdr:rowOff>101600</xdr:rowOff>
    </xdr:from>
    <xdr:to>
      <xdr:col>2</xdr:col>
      <xdr:colOff>440488</xdr:colOff>
      <xdr:row>3</xdr:row>
      <xdr:rowOff>165100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65886C5-AB1F-FF4B-A3BC-B6C80083D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2300" y="1016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50</xdr:row>
      <xdr:rowOff>25400</xdr:rowOff>
    </xdr:from>
    <xdr:to>
      <xdr:col>11</xdr:col>
      <xdr:colOff>656388</xdr:colOff>
      <xdr:row>55</xdr:row>
      <xdr:rowOff>76200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8A92E9C-07D5-4348-BB94-0B6590F6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59800" y="104267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56</xdr:row>
      <xdr:rowOff>190500</xdr:rowOff>
    </xdr:from>
    <xdr:to>
      <xdr:col>2</xdr:col>
      <xdr:colOff>8688</xdr:colOff>
      <xdr:row>61</xdr:row>
      <xdr:rowOff>76200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ABE7E25-BEBB-0C4C-9514-8E49A0510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16967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80</xdr:row>
      <xdr:rowOff>152400</xdr:rowOff>
    </xdr:from>
    <xdr:to>
      <xdr:col>11</xdr:col>
      <xdr:colOff>732588</xdr:colOff>
      <xdr:row>85</xdr:row>
      <xdr:rowOff>88900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BD9679B-3BE1-974B-ABCE-C1E6CE20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6000" y="16764000"/>
          <a:ext cx="1405688" cy="952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11</xdr:row>
      <xdr:rowOff>190500</xdr:rowOff>
    </xdr:from>
    <xdr:to>
      <xdr:col>8</xdr:col>
      <xdr:colOff>666750</xdr:colOff>
      <xdr:row>11</xdr:row>
      <xdr:rowOff>190500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>
        <a:xfrm>
          <a:off x="889000" y="2624667"/>
          <a:ext cx="6614583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12701</xdr:colOff>
      <xdr:row>6</xdr:row>
      <xdr:rowOff>63500</xdr:rowOff>
    </xdr:from>
    <xdr:to>
      <xdr:col>9</xdr:col>
      <xdr:colOff>0</xdr:colOff>
      <xdr:row>25</xdr:row>
      <xdr:rowOff>12700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/>
        </xdr:cNvSpPr>
      </xdr:nvSpPr>
      <xdr:spPr bwMode="auto">
        <a:xfrm>
          <a:off x="774701" y="1492250"/>
          <a:ext cx="6887632" cy="3769783"/>
        </a:xfrm>
        <a:prstGeom prst="rect">
          <a:avLst/>
        </a:prstGeom>
        <a:noFill/>
        <a:ln w="127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148167</xdr:colOff>
      <xdr:row>9</xdr:row>
      <xdr:rowOff>63501</xdr:rowOff>
    </xdr:from>
    <xdr:to>
      <xdr:col>8</xdr:col>
      <xdr:colOff>645584</xdr:colOff>
      <xdr:row>24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CxnSpPr/>
      </xdr:nvCxnSpPr>
      <xdr:spPr>
        <a:xfrm flipV="1">
          <a:off x="910167" y="2095501"/>
          <a:ext cx="6572250" cy="311149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5</xdr:row>
      <xdr:rowOff>12700</xdr:rowOff>
    </xdr:from>
    <xdr:to>
      <xdr:col>10</xdr:col>
      <xdr:colOff>299719</xdr:colOff>
      <xdr:row>25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Arrowheads="1"/>
        </xdr:cNvSpPr>
      </xdr:nvSpPr>
      <xdr:spPr bwMode="auto">
        <a:xfrm>
          <a:off x="8737600" y="1244600"/>
          <a:ext cx="45719" cy="4076701"/>
        </a:xfrm>
        <a:prstGeom prst="rect">
          <a:avLst/>
        </a:prstGeom>
        <a:noFill/>
        <a:ln w="12700" cmpd="sng">
          <a:solidFill>
            <a:schemeClr val="bg1">
              <a:lumMod val="85000"/>
            </a:schemeClr>
          </a:solidFill>
          <a:miter lim="800000"/>
          <a:headEnd/>
          <a:tailEnd/>
        </a:ln>
        <a:effectLst>
          <a:outerShdw blurRad="25400" dist="12700" dir="10800000" algn="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4</xdr:row>
      <xdr:rowOff>154940</xdr:rowOff>
    </xdr:from>
    <xdr:to>
      <xdr:col>10</xdr:col>
      <xdr:colOff>91440</xdr:colOff>
      <xdr:row>25</xdr:row>
      <xdr:rowOff>152400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CxnSpPr/>
      </xdr:nvCxnSpPr>
      <xdr:spPr>
        <a:xfrm>
          <a:off x="8569960" y="1183640"/>
          <a:ext cx="5080" cy="42646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581465</xdr:colOff>
      <xdr:row>26</xdr:row>
      <xdr:rowOff>52949</xdr:rowOff>
    </xdr:from>
    <xdr:to>
      <xdr:col>9</xdr:col>
      <xdr:colOff>147125</xdr:colOff>
      <xdr:row>26</xdr:row>
      <xdr:rowOff>73269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CxnSpPr/>
      </xdr:nvCxnSpPr>
      <xdr:spPr>
        <a:xfrm flipV="1">
          <a:off x="581465" y="5601872"/>
          <a:ext cx="7254045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84667</xdr:colOff>
      <xdr:row>9</xdr:row>
      <xdr:rowOff>63500</xdr:rowOff>
    </xdr:from>
    <xdr:to>
      <xdr:col>3</xdr:col>
      <xdr:colOff>86783</xdr:colOff>
      <xdr:row>24</xdr:row>
      <xdr:rowOff>158750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CxnSpPr/>
      </xdr:nvCxnSpPr>
      <xdr:spPr>
        <a:xfrm>
          <a:off x="2497667" y="2095500"/>
          <a:ext cx="2116" cy="31115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459154</xdr:colOff>
      <xdr:row>5</xdr:row>
      <xdr:rowOff>107463</xdr:rowOff>
    </xdr:from>
    <xdr:to>
      <xdr:col>9</xdr:col>
      <xdr:colOff>351692</xdr:colOff>
      <xdr:row>5</xdr:row>
      <xdr:rowOff>117231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CxnSpPr/>
      </xdr:nvCxnSpPr>
      <xdr:spPr>
        <a:xfrm>
          <a:off x="459154" y="1348155"/>
          <a:ext cx="7580923" cy="9768"/>
        </a:xfrm>
        <a:prstGeom prst="line">
          <a:avLst/>
        </a:prstGeom>
        <a:ln w="241300" cmpd="sng">
          <a:solidFill>
            <a:schemeClr val="bg1"/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592668</xdr:colOff>
      <xdr:row>25</xdr:row>
      <xdr:rowOff>63500</xdr:rowOff>
    </xdr:from>
    <xdr:to>
      <xdr:col>9</xdr:col>
      <xdr:colOff>160868</xdr:colOff>
      <xdr:row>25</xdr:row>
      <xdr:rowOff>63500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CxnSpPr/>
      </xdr:nvCxnSpPr>
      <xdr:spPr>
        <a:xfrm>
          <a:off x="592668" y="5312833"/>
          <a:ext cx="7230533" cy="0"/>
        </a:xfrm>
        <a:prstGeom prst="line">
          <a:avLst/>
        </a:prstGeom>
        <a:ln w="13335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215900</xdr:colOff>
      <xdr:row>25</xdr:row>
      <xdr:rowOff>76200</xdr:rowOff>
    </xdr:from>
    <xdr:to>
      <xdr:col>10</xdr:col>
      <xdr:colOff>342900</xdr:colOff>
      <xdr:row>25</xdr:row>
      <xdr:rowOff>82550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CxnSpPr/>
      </xdr:nvCxnSpPr>
      <xdr:spPr>
        <a:xfrm>
          <a:off x="8699500" y="5372100"/>
          <a:ext cx="127000" cy="6350"/>
        </a:xfrm>
        <a:prstGeom prst="line">
          <a:avLst/>
        </a:prstGeom>
        <a:ln w="130175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420077</xdr:colOff>
      <xdr:row>4</xdr:row>
      <xdr:rowOff>87924</xdr:rowOff>
    </xdr:from>
    <xdr:to>
      <xdr:col>9</xdr:col>
      <xdr:colOff>381000</xdr:colOff>
      <xdr:row>4</xdr:row>
      <xdr:rowOff>97693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CxnSpPr/>
      </xdr:nvCxnSpPr>
      <xdr:spPr>
        <a:xfrm>
          <a:off x="420077" y="1123462"/>
          <a:ext cx="7649308" cy="9769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685800</xdr:colOff>
      <xdr:row>6</xdr:row>
      <xdr:rowOff>43180</xdr:rowOff>
    </xdr:from>
    <xdr:to>
      <xdr:col>10</xdr:col>
      <xdr:colOff>703385</xdr:colOff>
      <xdr:row>25</xdr:row>
      <xdr:rowOff>156308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CxnSpPr/>
      </xdr:nvCxnSpPr>
      <xdr:spPr>
        <a:xfrm>
          <a:off x="9204569" y="1489026"/>
          <a:ext cx="17585" cy="4011051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8</xdr:row>
      <xdr:rowOff>190500</xdr:rowOff>
    </xdr:from>
    <xdr:to>
      <xdr:col>1</xdr:col>
      <xdr:colOff>137583</xdr:colOff>
      <xdr:row>24</xdr:row>
      <xdr:rowOff>190500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/>
      </xdr:nvSpPr>
      <xdr:spPr>
        <a:xfrm>
          <a:off x="762000" y="2021417"/>
          <a:ext cx="137583" cy="3217333"/>
        </a:xfrm>
        <a:prstGeom prst="rect">
          <a:avLst/>
        </a:prstGeom>
        <a:solidFill>
          <a:schemeClr val="tx1"/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702734</xdr:colOff>
      <xdr:row>8</xdr:row>
      <xdr:rowOff>190499</xdr:rowOff>
    </xdr:from>
    <xdr:to>
      <xdr:col>9</xdr:col>
      <xdr:colOff>0</xdr:colOff>
      <xdr:row>25</xdr:row>
      <xdr:rowOff>10584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/>
      </xdr:nvSpPr>
      <xdr:spPr>
        <a:xfrm>
          <a:off x="7539567" y="2021416"/>
          <a:ext cx="122766" cy="3238501"/>
        </a:xfrm>
        <a:prstGeom prst="rect">
          <a:avLst/>
        </a:prstGeom>
        <a:solidFill>
          <a:schemeClr val="tx1"/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133735</xdr:colOff>
      <xdr:row>4</xdr:row>
      <xdr:rowOff>149182</xdr:rowOff>
    </xdr:from>
    <xdr:to>
      <xdr:col>10</xdr:col>
      <xdr:colOff>531091</xdr:colOff>
      <xdr:row>6</xdr:row>
      <xdr:rowOff>12153</xdr:rowOff>
    </xdr:to>
    <xdr:grpSp>
      <xdr:nvGrpSpPr>
        <xdr:cNvPr id="57" name="Group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GrpSpPr/>
      </xdr:nvGrpSpPr>
      <xdr:grpSpPr>
        <a:xfrm>
          <a:off x="8617335" y="1177882"/>
          <a:ext cx="397356" cy="269371"/>
          <a:chOff x="9196917" y="1213187"/>
          <a:chExt cx="394925" cy="264024"/>
        </a:xfrm>
        <a:solidFill>
          <a:schemeClr val="bg1"/>
        </a:solidFill>
        <a:effectLst/>
      </xdr:grpSpPr>
      <xdr:sp macro="" textlink="">
        <xdr:nvSpPr>
          <xdr:cNvPr id="56" name="Oval 55">
            <a:extLst>
              <a:ext uri="{FF2B5EF4-FFF2-40B4-BE49-F238E27FC236}">
                <a16:creationId xmlns:a16="http://schemas.microsoft.com/office/drawing/2014/main" id="{00000000-0008-0000-0A00-000038000000}"/>
              </a:ext>
            </a:extLst>
          </xdr:cNvPr>
          <xdr:cNvSpPr/>
        </xdr:nvSpPr>
        <xdr:spPr>
          <a:xfrm>
            <a:off x="9323916" y="1213187"/>
            <a:ext cx="267926" cy="264024"/>
          </a:xfrm>
          <a:prstGeom prst="ellipse">
            <a:avLst/>
          </a:prstGeom>
          <a:grpFill/>
          <a:ln>
            <a:noFill/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00000000-0008-0000-0A00-000037000000}"/>
              </a:ext>
            </a:extLst>
          </xdr:cNvPr>
          <xdr:cNvSpPr/>
        </xdr:nvSpPr>
        <xdr:spPr>
          <a:xfrm>
            <a:off x="9196917" y="1219868"/>
            <a:ext cx="257342" cy="252886"/>
          </a:xfrm>
          <a:prstGeom prst="rect">
            <a:avLst/>
          </a:prstGeom>
          <a:grpFill/>
          <a:ln>
            <a:noFill/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10</xdr:col>
      <xdr:colOff>141111</xdr:colOff>
      <xdr:row>4</xdr:row>
      <xdr:rowOff>155222</xdr:rowOff>
    </xdr:from>
    <xdr:to>
      <xdr:col>10</xdr:col>
      <xdr:colOff>515055</xdr:colOff>
      <xdr:row>5</xdr:row>
      <xdr:rowOff>204611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/>
      </xdr:nvSpPr>
      <xdr:spPr>
        <a:xfrm>
          <a:off x="8621889" y="1185333"/>
          <a:ext cx="373944" cy="254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136769</xdr:colOff>
      <xdr:row>52</xdr:row>
      <xdr:rowOff>129605</xdr:rowOff>
    </xdr:from>
    <xdr:to>
      <xdr:col>9</xdr:col>
      <xdr:colOff>40054</xdr:colOff>
      <xdr:row>69</xdr:row>
      <xdr:rowOff>87922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9538" y="10973451"/>
          <a:ext cx="5168901" cy="3445933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0</xdr:row>
      <xdr:rowOff>38100</xdr:rowOff>
    </xdr:from>
    <xdr:to>
      <xdr:col>2</xdr:col>
      <xdr:colOff>262688</xdr:colOff>
      <xdr:row>3</xdr:row>
      <xdr:rowOff>165100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CA24C1B-7299-2342-BC29-55B3D5FE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500" y="381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64</xdr:row>
      <xdr:rowOff>114300</xdr:rowOff>
    </xdr:from>
    <xdr:to>
      <xdr:col>11</xdr:col>
      <xdr:colOff>440488</xdr:colOff>
      <xdr:row>69</xdr:row>
      <xdr:rowOff>50800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D9080D9-AF43-2045-98E1-270DCF42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3900" y="13512800"/>
          <a:ext cx="1405688" cy="952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</xdr:row>
      <xdr:rowOff>114300</xdr:rowOff>
    </xdr:from>
    <xdr:to>
      <xdr:col>8</xdr:col>
      <xdr:colOff>784860</xdr:colOff>
      <xdr:row>9</xdr:row>
      <xdr:rowOff>124460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CxnSpPr/>
      </xdr:nvCxnSpPr>
      <xdr:spPr>
        <a:xfrm>
          <a:off x="1054100" y="2159000"/>
          <a:ext cx="8709660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6</xdr:row>
      <xdr:rowOff>63500</xdr:rowOff>
    </xdr:from>
    <xdr:to>
      <xdr:col>9</xdr:col>
      <xdr:colOff>25400</xdr:colOff>
      <xdr:row>25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028700" y="1498600"/>
          <a:ext cx="9055100" cy="3810000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38100</xdr:colOff>
      <xdr:row>8</xdr:row>
      <xdr:rowOff>25400</xdr:rowOff>
    </xdr:from>
    <xdr:to>
      <xdr:col>9</xdr:col>
      <xdr:colOff>12700</xdr:colOff>
      <xdr:row>24</xdr:row>
      <xdr:rowOff>152400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 flipV="1">
          <a:off x="800100" y="1409700"/>
          <a:ext cx="6578600" cy="3175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5</xdr:row>
      <xdr:rowOff>12700</xdr:rowOff>
    </xdr:from>
    <xdr:to>
      <xdr:col>10</xdr:col>
      <xdr:colOff>299719</xdr:colOff>
      <xdr:row>25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8737600" y="1244600"/>
          <a:ext cx="45719" cy="40767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4</xdr:row>
      <xdr:rowOff>154940</xdr:rowOff>
    </xdr:from>
    <xdr:to>
      <xdr:col>10</xdr:col>
      <xdr:colOff>91440</xdr:colOff>
      <xdr:row>25</xdr:row>
      <xdr:rowOff>152400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CxnSpPr/>
      </xdr:nvCxnSpPr>
      <xdr:spPr>
        <a:xfrm>
          <a:off x="8549640" y="927100"/>
          <a:ext cx="5080" cy="4051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640080</xdr:colOff>
      <xdr:row>26</xdr:row>
      <xdr:rowOff>43180</xdr:rowOff>
    </xdr:from>
    <xdr:to>
      <xdr:col>9</xdr:col>
      <xdr:colOff>205740</xdr:colOff>
      <xdr:row>26</xdr:row>
      <xdr:rowOff>63500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CxnSpPr/>
      </xdr:nvCxnSpPr>
      <xdr:spPr>
        <a:xfrm flipV="1">
          <a:off x="640080" y="5542280"/>
          <a:ext cx="7223760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8</xdr:row>
      <xdr:rowOff>25400</xdr:rowOff>
    </xdr:from>
    <xdr:to>
      <xdr:col>3</xdr:col>
      <xdr:colOff>88900</xdr:colOff>
      <xdr:row>24</xdr:row>
      <xdr:rowOff>127000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CxnSpPr/>
      </xdr:nvCxnSpPr>
      <xdr:spPr>
        <a:xfrm flipH="1">
          <a:off x="2489200" y="1409700"/>
          <a:ext cx="12700" cy="3149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571500</xdr:colOff>
      <xdr:row>5</xdr:row>
      <xdr:rowOff>152400</xdr:rowOff>
    </xdr:from>
    <xdr:to>
      <xdr:col>9</xdr:col>
      <xdr:colOff>228600</xdr:colOff>
      <xdr:row>5</xdr:row>
      <xdr:rowOff>165100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CxnSpPr/>
      </xdr:nvCxnSpPr>
      <xdr:spPr>
        <a:xfrm>
          <a:off x="571500" y="1384300"/>
          <a:ext cx="7315200" cy="12700"/>
        </a:xfrm>
        <a:prstGeom prst="line">
          <a:avLst/>
        </a:prstGeom>
        <a:ln w="2413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5</xdr:row>
      <xdr:rowOff>110067</xdr:rowOff>
    </xdr:from>
    <xdr:to>
      <xdr:col>10</xdr:col>
      <xdr:colOff>558800</xdr:colOff>
      <xdr:row>5</xdr:row>
      <xdr:rowOff>114300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CxnSpPr/>
      </xdr:nvCxnSpPr>
      <xdr:spPr>
        <a:xfrm flipV="1">
          <a:off x="11328400" y="1346200"/>
          <a:ext cx="406400" cy="4233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635000</xdr:colOff>
      <xdr:row>25</xdr:row>
      <xdr:rowOff>63500</xdr:rowOff>
    </xdr:from>
    <xdr:to>
      <xdr:col>9</xdr:col>
      <xdr:colOff>203200</xdr:colOff>
      <xdr:row>25</xdr:row>
      <xdr:rowOff>63500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CxnSpPr/>
      </xdr:nvCxnSpPr>
      <xdr:spPr>
        <a:xfrm>
          <a:off x="635000" y="5359400"/>
          <a:ext cx="7226300" cy="0"/>
        </a:xfrm>
        <a:prstGeom prst="line">
          <a:avLst/>
        </a:prstGeom>
        <a:ln w="1016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215900</xdr:colOff>
      <xdr:row>25</xdr:row>
      <xdr:rowOff>76200</xdr:rowOff>
    </xdr:from>
    <xdr:to>
      <xdr:col>10</xdr:col>
      <xdr:colOff>342900</xdr:colOff>
      <xdr:row>25</xdr:row>
      <xdr:rowOff>82550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CxnSpPr/>
      </xdr:nvCxnSpPr>
      <xdr:spPr>
        <a:xfrm>
          <a:off x="8699500" y="5372100"/>
          <a:ext cx="127000" cy="6350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546100</xdr:colOff>
      <xdr:row>4</xdr:row>
      <xdr:rowOff>63500</xdr:rowOff>
    </xdr:from>
    <xdr:to>
      <xdr:col>9</xdr:col>
      <xdr:colOff>266700</xdr:colOff>
      <xdr:row>4</xdr:row>
      <xdr:rowOff>101600</xdr:rowOff>
    </xdr:to>
    <xdr:cxnSp macro="">
      <xdr:nvCxnSpPr>
        <xdr:cNvPr id="60" name="Straight Arrow Connector 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CxnSpPr/>
      </xdr:nvCxnSpPr>
      <xdr:spPr>
        <a:xfrm>
          <a:off x="546100" y="1092200"/>
          <a:ext cx="7378700" cy="381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680720</xdr:colOff>
      <xdr:row>6</xdr:row>
      <xdr:rowOff>43180</xdr:rowOff>
    </xdr:from>
    <xdr:to>
      <xdr:col>10</xdr:col>
      <xdr:colOff>685800</xdr:colOff>
      <xdr:row>25</xdr:row>
      <xdr:rowOff>111760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CxnSpPr/>
      </xdr:nvCxnSpPr>
      <xdr:spPr>
        <a:xfrm flipH="1">
          <a:off x="9144000" y="1252220"/>
          <a:ext cx="5080" cy="392938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406400</xdr:colOff>
      <xdr:row>52</xdr:row>
      <xdr:rowOff>24920</xdr:rowOff>
    </xdr:from>
    <xdr:to>
      <xdr:col>7</xdr:col>
      <xdr:colOff>609600</xdr:colOff>
      <xdr:row>68</xdr:row>
      <xdr:rowOff>111780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GrpSpPr>
          <a:grpSpLocks noChangeAspect="1"/>
        </xdr:cNvGrpSpPr>
      </xdr:nvGrpSpPr>
      <xdr:grpSpPr>
        <a:xfrm>
          <a:off x="2819400" y="10985020"/>
          <a:ext cx="3797300" cy="3338060"/>
          <a:chOff x="5943600" y="3456801"/>
          <a:chExt cx="2828925" cy="2486799"/>
        </a:xfrm>
      </xdr:grpSpPr>
      <xdr:sp macro="" textlink="">
        <xdr:nvSpPr>
          <xdr:cNvPr id="50" name="Flowchart: Alternate Process 17">
            <a:extLst>
              <a:ext uri="{FF2B5EF4-FFF2-40B4-BE49-F238E27FC236}">
                <a16:creationId xmlns:a16="http://schemas.microsoft.com/office/drawing/2014/main" id="{00000000-0008-0000-0B00-000032000000}"/>
              </a:ext>
            </a:extLst>
          </xdr:cNvPr>
          <xdr:cNvSpPr/>
        </xdr:nvSpPr>
        <xdr:spPr>
          <a:xfrm>
            <a:off x="7086600" y="4343400"/>
            <a:ext cx="1066800" cy="990600"/>
          </a:xfrm>
          <a:prstGeom prst="flowChartAlternateProcess">
            <a:avLst/>
          </a:prstGeom>
          <a:ln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1" name="Trapezoid 50">
            <a:extLst>
              <a:ext uri="{FF2B5EF4-FFF2-40B4-BE49-F238E27FC236}">
                <a16:creationId xmlns:a16="http://schemas.microsoft.com/office/drawing/2014/main" id="{00000000-0008-0000-0B00-000033000000}"/>
              </a:ext>
            </a:extLst>
          </xdr:cNvPr>
          <xdr:cNvSpPr/>
        </xdr:nvSpPr>
        <xdr:spPr>
          <a:xfrm>
            <a:off x="7505700" y="4267200"/>
            <a:ext cx="228600" cy="76200"/>
          </a:xfrm>
          <a:prstGeom prst="trapezoid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B00-000034000000}"/>
              </a:ext>
            </a:extLst>
          </xdr:cNvPr>
          <xdr:cNvSpPr txBox="1"/>
        </xdr:nvSpPr>
        <xdr:spPr>
          <a:xfrm>
            <a:off x="7239000" y="3730823"/>
            <a:ext cx="685800" cy="18163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/>
              <a:t>140 mm</a:t>
            </a:r>
          </a:p>
        </xdr:txBody>
      </xdr:sp>
      <xdr:sp macro="" textlink="">
        <xdr:nvSpPr>
          <xdr:cNvPr id="53" name="Trapezoid 52">
            <a:extLst>
              <a:ext uri="{FF2B5EF4-FFF2-40B4-BE49-F238E27FC236}">
                <a16:creationId xmlns:a16="http://schemas.microsoft.com/office/drawing/2014/main" id="{00000000-0008-0000-0B00-000035000000}"/>
              </a:ext>
            </a:extLst>
          </xdr:cNvPr>
          <xdr:cNvSpPr/>
        </xdr:nvSpPr>
        <xdr:spPr>
          <a:xfrm rot="-5400000">
            <a:off x="6934200" y="4800600"/>
            <a:ext cx="228600" cy="76200"/>
          </a:xfrm>
          <a:prstGeom prst="trapezoid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4" name="Oval 53">
            <a:extLst>
              <a:ext uri="{FF2B5EF4-FFF2-40B4-BE49-F238E27FC236}">
                <a16:creationId xmlns:a16="http://schemas.microsoft.com/office/drawing/2014/main" id="{00000000-0008-0000-0B00-000036000000}"/>
              </a:ext>
            </a:extLst>
          </xdr:cNvPr>
          <xdr:cNvSpPr/>
        </xdr:nvSpPr>
        <xdr:spPr>
          <a:xfrm>
            <a:off x="7086600" y="5562600"/>
            <a:ext cx="152400" cy="152400"/>
          </a:xfrm>
          <a:prstGeom prst="ellipse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cxnSp macro="">
        <xdr:nvCxnSpPr>
          <xdr:cNvPr id="55" name="Straight Connector 54">
            <a:extLst>
              <a:ext uri="{FF2B5EF4-FFF2-40B4-BE49-F238E27FC236}">
                <a16:creationId xmlns:a16="http://schemas.microsoft.com/office/drawing/2014/main" id="{00000000-0008-0000-0B00-000037000000}"/>
              </a:ext>
            </a:extLst>
          </xdr:cNvPr>
          <xdr:cNvCxnSpPr/>
        </xdr:nvCxnSpPr>
        <xdr:spPr>
          <a:xfrm flipV="1">
            <a:off x="7162800" y="5257800"/>
            <a:ext cx="0" cy="304800"/>
          </a:xfrm>
          <a:prstGeom prst="line">
            <a:avLst/>
          </a:prstGeom>
          <a:ln w="2222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00000000-0008-0000-0B00-000038000000}"/>
              </a:ext>
            </a:extLst>
          </xdr:cNvPr>
          <xdr:cNvSpPr txBox="1"/>
        </xdr:nvSpPr>
        <xdr:spPr>
          <a:xfrm>
            <a:off x="8162925" y="4676001"/>
            <a:ext cx="609600" cy="19741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latin typeface="Lato" charset="0"/>
                <a:ea typeface="Lato" charset="0"/>
                <a:cs typeface="Lato" charset="0"/>
              </a:rPr>
              <a:t>front</a:t>
            </a: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00000000-0008-0000-0B00-000039000000}"/>
              </a:ext>
            </a:extLst>
          </xdr:cNvPr>
          <xdr:cNvSpPr txBox="1"/>
        </xdr:nvSpPr>
        <xdr:spPr>
          <a:xfrm>
            <a:off x="5943600" y="4656951"/>
            <a:ext cx="609600" cy="19741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latin typeface="Lato" charset="0"/>
                <a:ea typeface="Lato" charset="0"/>
                <a:cs typeface="Lato" charset="0"/>
              </a:rPr>
              <a:t>wall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00000000-0008-0000-0B00-00003A000000}"/>
              </a:ext>
            </a:extLst>
          </xdr:cNvPr>
          <xdr:cNvSpPr txBox="1"/>
        </xdr:nvSpPr>
        <xdr:spPr>
          <a:xfrm>
            <a:off x="7267575" y="3456801"/>
            <a:ext cx="685800" cy="19741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600" b="1">
                <a:latin typeface="Lato" charset="0"/>
                <a:ea typeface="Lato" charset="0"/>
                <a:cs typeface="Lato" charset="0"/>
              </a:rPr>
              <a:t>ceiling</a:t>
            </a: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00000000-0008-0000-0B00-00003B000000}"/>
              </a:ext>
            </a:extLst>
          </xdr:cNvPr>
          <xdr:cNvSpPr txBox="1"/>
        </xdr:nvSpPr>
        <xdr:spPr>
          <a:xfrm>
            <a:off x="6962775" y="3959423"/>
            <a:ext cx="685800" cy="18163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/>
              <a:t>72 mm</a:t>
            </a:r>
          </a:p>
        </xdr:txBody>
      </xdr:sp>
      <xdr:cxnSp macro="">
        <xdr:nvCxnSpPr>
          <xdr:cNvPr id="61" name="Straight Connector 60">
            <a:extLst>
              <a:ext uri="{FF2B5EF4-FFF2-40B4-BE49-F238E27FC236}">
                <a16:creationId xmlns:a16="http://schemas.microsoft.com/office/drawing/2014/main" id="{00000000-0008-0000-0B00-00003D000000}"/>
              </a:ext>
            </a:extLst>
          </xdr:cNvPr>
          <xdr:cNvCxnSpPr/>
        </xdr:nvCxnSpPr>
        <xdr:spPr>
          <a:xfrm flipV="1">
            <a:off x="7010400" y="3886200"/>
            <a:ext cx="0" cy="53340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2" name="Straight Connector 61">
            <a:extLst>
              <a:ext uri="{FF2B5EF4-FFF2-40B4-BE49-F238E27FC236}">
                <a16:creationId xmlns:a16="http://schemas.microsoft.com/office/drawing/2014/main" id="{00000000-0008-0000-0B00-00003E000000}"/>
              </a:ext>
            </a:extLst>
          </xdr:cNvPr>
          <xdr:cNvCxnSpPr/>
        </xdr:nvCxnSpPr>
        <xdr:spPr>
          <a:xfrm flipV="1">
            <a:off x="7620000" y="4029075"/>
            <a:ext cx="0" cy="150912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3" name="Straight Connector 62">
            <a:extLst>
              <a:ext uri="{FF2B5EF4-FFF2-40B4-BE49-F238E27FC236}">
                <a16:creationId xmlns:a16="http://schemas.microsoft.com/office/drawing/2014/main" id="{00000000-0008-0000-0B00-00003F000000}"/>
              </a:ext>
            </a:extLst>
          </xdr:cNvPr>
          <xdr:cNvCxnSpPr/>
        </xdr:nvCxnSpPr>
        <xdr:spPr>
          <a:xfrm flipV="1">
            <a:off x="8153400" y="3886200"/>
            <a:ext cx="0" cy="45720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4" name="Straight Arrow Connector 63">
            <a:extLst>
              <a:ext uri="{FF2B5EF4-FFF2-40B4-BE49-F238E27FC236}">
                <a16:creationId xmlns:a16="http://schemas.microsoft.com/office/drawing/2014/main" id="{00000000-0008-0000-0B00-000040000000}"/>
              </a:ext>
            </a:extLst>
          </xdr:cNvPr>
          <xdr:cNvCxnSpPr/>
        </xdr:nvCxnSpPr>
        <xdr:spPr>
          <a:xfrm>
            <a:off x="7772400" y="3886200"/>
            <a:ext cx="381000" cy="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5" name="Straight Arrow Connector 64">
            <a:extLst>
              <a:ext uri="{FF2B5EF4-FFF2-40B4-BE49-F238E27FC236}">
                <a16:creationId xmlns:a16="http://schemas.microsoft.com/office/drawing/2014/main" id="{00000000-0008-0000-0B00-000041000000}"/>
              </a:ext>
            </a:extLst>
          </xdr:cNvPr>
          <xdr:cNvCxnSpPr/>
        </xdr:nvCxnSpPr>
        <xdr:spPr>
          <a:xfrm flipV="1">
            <a:off x="7439022" y="4113312"/>
            <a:ext cx="180975" cy="1488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Arrow Connector 65">
            <a:extLst>
              <a:ext uri="{FF2B5EF4-FFF2-40B4-BE49-F238E27FC236}">
                <a16:creationId xmlns:a16="http://schemas.microsoft.com/office/drawing/2014/main" id="{00000000-0008-0000-0B00-000042000000}"/>
              </a:ext>
            </a:extLst>
          </xdr:cNvPr>
          <xdr:cNvCxnSpPr/>
        </xdr:nvCxnSpPr>
        <xdr:spPr>
          <a:xfrm flipH="1">
            <a:off x="7010400" y="4114800"/>
            <a:ext cx="152400" cy="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7" name="Straight Arrow Connector 66">
            <a:extLst>
              <a:ext uri="{FF2B5EF4-FFF2-40B4-BE49-F238E27FC236}">
                <a16:creationId xmlns:a16="http://schemas.microsoft.com/office/drawing/2014/main" id="{00000000-0008-0000-0B00-000043000000}"/>
              </a:ext>
            </a:extLst>
          </xdr:cNvPr>
          <xdr:cNvCxnSpPr/>
        </xdr:nvCxnSpPr>
        <xdr:spPr>
          <a:xfrm flipH="1">
            <a:off x="7010400" y="3886200"/>
            <a:ext cx="381000" cy="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8" name="Straight Connector 67">
            <a:extLst>
              <a:ext uri="{FF2B5EF4-FFF2-40B4-BE49-F238E27FC236}">
                <a16:creationId xmlns:a16="http://schemas.microsoft.com/office/drawing/2014/main" id="{00000000-0008-0000-0B00-000044000000}"/>
              </a:ext>
            </a:extLst>
          </xdr:cNvPr>
          <xdr:cNvCxnSpPr/>
        </xdr:nvCxnSpPr>
        <xdr:spPr>
          <a:xfrm>
            <a:off x="6629400" y="4267200"/>
            <a:ext cx="533400" cy="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9" name="Straight Connector 68">
            <a:extLst>
              <a:ext uri="{FF2B5EF4-FFF2-40B4-BE49-F238E27FC236}">
                <a16:creationId xmlns:a16="http://schemas.microsoft.com/office/drawing/2014/main" id="{00000000-0008-0000-0B00-000045000000}"/>
              </a:ext>
            </a:extLst>
          </xdr:cNvPr>
          <xdr:cNvCxnSpPr/>
        </xdr:nvCxnSpPr>
        <xdr:spPr>
          <a:xfrm>
            <a:off x="6629400" y="5334000"/>
            <a:ext cx="533400" cy="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" name="Rectangle 69">
            <a:extLst>
              <a:ext uri="{FF2B5EF4-FFF2-40B4-BE49-F238E27FC236}">
                <a16:creationId xmlns:a16="http://schemas.microsoft.com/office/drawing/2014/main" id="{00000000-0008-0000-0B00-000046000000}"/>
              </a:ext>
            </a:extLst>
          </xdr:cNvPr>
          <xdr:cNvSpPr/>
        </xdr:nvSpPr>
        <xdr:spPr>
          <a:xfrm>
            <a:off x="7315200" y="5334000"/>
            <a:ext cx="152400" cy="762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1" name="TextBox 70">
            <a:extLst>
              <a:ext uri="{FF2B5EF4-FFF2-40B4-BE49-F238E27FC236}">
                <a16:creationId xmlns:a16="http://schemas.microsoft.com/office/drawing/2014/main" id="{00000000-0008-0000-0B00-000047000000}"/>
              </a:ext>
            </a:extLst>
          </xdr:cNvPr>
          <xdr:cNvSpPr txBox="1"/>
        </xdr:nvSpPr>
        <xdr:spPr>
          <a:xfrm>
            <a:off x="6400800" y="4643437"/>
            <a:ext cx="457200" cy="18163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/>
              <a:t>147 mm</a:t>
            </a:r>
          </a:p>
        </xdr:txBody>
      </xdr:sp>
      <xdr:cxnSp macro="">
        <xdr:nvCxnSpPr>
          <xdr:cNvPr id="72" name="Straight Arrow Connector 71">
            <a:extLst>
              <a:ext uri="{FF2B5EF4-FFF2-40B4-BE49-F238E27FC236}">
                <a16:creationId xmlns:a16="http://schemas.microsoft.com/office/drawing/2014/main" id="{00000000-0008-0000-0B00-000048000000}"/>
              </a:ext>
            </a:extLst>
          </xdr:cNvPr>
          <xdr:cNvCxnSpPr/>
        </xdr:nvCxnSpPr>
        <xdr:spPr>
          <a:xfrm flipV="1">
            <a:off x="6629400" y="4267200"/>
            <a:ext cx="0" cy="38100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Straight Arrow Connector 72">
            <a:extLst>
              <a:ext uri="{FF2B5EF4-FFF2-40B4-BE49-F238E27FC236}">
                <a16:creationId xmlns:a16="http://schemas.microsoft.com/office/drawing/2014/main" id="{00000000-0008-0000-0B00-000049000000}"/>
              </a:ext>
            </a:extLst>
          </xdr:cNvPr>
          <xdr:cNvCxnSpPr/>
        </xdr:nvCxnSpPr>
        <xdr:spPr>
          <a:xfrm>
            <a:off x="6629400" y="4953000"/>
            <a:ext cx="0" cy="38100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Straight Connector 73">
            <a:extLst>
              <a:ext uri="{FF2B5EF4-FFF2-40B4-BE49-F238E27FC236}">
                <a16:creationId xmlns:a16="http://schemas.microsoft.com/office/drawing/2014/main" id="{00000000-0008-0000-0B00-00004A000000}"/>
              </a:ext>
            </a:extLst>
          </xdr:cNvPr>
          <xdr:cNvCxnSpPr/>
        </xdr:nvCxnSpPr>
        <xdr:spPr>
          <a:xfrm flipV="1">
            <a:off x="7010400" y="5410200"/>
            <a:ext cx="0" cy="533400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Straight Connector 74">
            <a:extLst>
              <a:ext uri="{FF2B5EF4-FFF2-40B4-BE49-F238E27FC236}">
                <a16:creationId xmlns:a16="http://schemas.microsoft.com/office/drawing/2014/main" id="{00000000-0008-0000-0B00-00004B000000}"/>
              </a:ext>
            </a:extLst>
          </xdr:cNvPr>
          <xdr:cNvCxnSpPr/>
        </xdr:nvCxnSpPr>
        <xdr:spPr>
          <a:xfrm flipV="1">
            <a:off x="7086600" y="5791200"/>
            <a:ext cx="0" cy="150912"/>
          </a:xfrm>
          <a:prstGeom prst="line">
            <a:avLst/>
          </a:prstGeom>
          <a:ln w="12700">
            <a:solidFill>
              <a:schemeClr val="tx2">
                <a:lumMod val="60000"/>
                <a:lumOff val="4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Straight Arrow Connector 75">
            <a:extLst>
              <a:ext uri="{FF2B5EF4-FFF2-40B4-BE49-F238E27FC236}">
                <a16:creationId xmlns:a16="http://schemas.microsoft.com/office/drawing/2014/main" id="{00000000-0008-0000-0B00-00004C000000}"/>
              </a:ext>
            </a:extLst>
          </xdr:cNvPr>
          <xdr:cNvCxnSpPr/>
        </xdr:nvCxnSpPr>
        <xdr:spPr>
          <a:xfrm flipV="1">
            <a:off x="6829425" y="5867400"/>
            <a:ext cx="180975" cy="1488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Straight Arrow Connector 76">
            <a:extLst>
              <a:ext uri="{FF2B5EF4-FFF2-40B4-BE49-F238E27FC236}">
                <a16:creationId xmlns:a16="http://schemas.microsoft.com/office/drawing/2014/main" id="{00000000-0008-0000-0B00-00004D000000}"/>
              </a:ext>
            </a:extLst>
          </xdr:cNvPr>
          <xdr:cNvCxnSpPr/>
        </xdr:nvCxnSpPr>
        <xdr:spPr>
          <a:xfrm flipH="1">
            <a:off x="7086600" y="5867400"/>
            <a:ext cx="152400" cy="0"/>
          </a:xfrm>
          <a:prstGeom prst="straightConnector1">
            <a:avLst/>
          </a:prstGeom>
          <a:ln>
            <a:solidFill>
              <a:schemeClr val="tx2">
                <a:lumMod val="60000"/>
                <a:lumOff val="4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id="{00000000-0008-0000-0B00-00004E000000}"/>
              </a:ext>
            </a:extLst>
          </xdr:cNvPr>
          <xdr:cNvSpPr txBox="1"/>
        </xdr:nvSpPr>
        <xdr:spPr>
          <a:xfrm>
            <a:off x="7239000" y="5712023"/>
            <a:ext cx="762000" cy="181638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400"/>
              <a:t>11 mm</a:t>
            </a:r>
          </a:p>
        </xdr:txBody>
      </xdr:sp>
    </xdr:grpSp>
    <xdr:clientData/>
  </xdr:twoCellAnchor>
  <xdr:twoCellAnchor editAs="oneCell">
    <xdr:from>
      <xdr:col>0</xdr:col>
      <xdr:colOff>584200</xdr:colOff>
      <xdr:row>0</xdr:row>
      <xdr:rowOff>50800</xdr:rowOff>
    </xdr:from>
    <xdr:to>
      <xdr:col>2</xdr:col>
      <xdr:colOff>402388</xdr:colOff>
      <xdr:row>3</xdr:row>
      <xdr:rowOff>177800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12404AD-3607-D646-8769-2C3901A02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200" y="508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47</xdr:row>
      <xdr:rowOff>50800</xdr:rowOff>
    </xdr:from>
    <xdr:to>
      <xdr:col>11</xdr:col>
      <xdr:colOff>288088</xdr:colOff>
      <xdr:row>51</xdr:row>
      <xdr:rowOff>190500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94FAEB9-862E-584E-AEB5-F17196AE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0" y="9994900"/>
          <a:ext cx="1405688" cy="952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21</xdr:row>
      <xdr:rowOff>165100</xdr:rowOff>
    </xdr:from>
    <xdr:to>
      <xdr:col>8</xdr:col>
      <xdr:colOff>797560</xdr:colOff>
      <xdr:row>21</xdr:row>
      <xdr:rowOff>175260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>
          <a:off x="812800" y="4699000"/>
          <a:ext cx="6817360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6</xdr:row>
      <xdr:rowOff>63500</xdr:rowOff>
    </xdr:from>
    <xdr:to>
      <xdr:col>9</xdr:col>
      <xdr:colOff>25400</xdr:colOff>
      <xdr:row>25</xdr:row>
      <xdr:rowOff>12700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/>
        </xdr:cNvSpPr>
      </xdr:nvSpPr>
      <xdr:spPr bwMode="auto">
        <a:xfrm>
          <a:off x="774700" y="1498600"/>
          <a:ext cx="6908800" cy="3822700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25400</xdr:colOff>
      <xdr:row>8</xdr:row>
      <xdr:rowOff>0</xdr:rowOff>
    </xdr:from>
    <xdr:to>
      <xdr:col>9</xdr:col>
      <xdr:colOff>0</xdr:colOff>
      <xdr:row>24</xdr:row>
      <xdr:rowOff>127000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V="1">
          <a:off x="787400" y="1866900"/>
          <a:ext cx="6870700" cy="3403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406400</xdr:colOff>
      <xdr:row>5</xdr:row>
      <xdr:rowOff>25400</xdr:rowOff>
    </xdr:from>
    <xdr:to>
      <xdr:col>10</xdr:col>
      <xdr:colOff>452119</xdr:colOff>
      <xdr:row>25</xdr:row>
      <xdr:rowOff>38101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/>
        </xdr:cNvSpPr>
      </xdr:nvSpPr>
      <xdr:spPr bwMode="auto">
        <a:xfrm>
          <a:off x="8890000" y="1257300"/>
          <a:ext cx="45719" cy="41275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10</xdr:col>
      <xdr:colOff>22860</xdr:colOff>
      <xdr:row>4</xdr:row>
      <xdr:rowOff>167640</xdr:rowOff>
    </xdr:from>
    <xdr:to>
      <xdr:col>10</xdr:col>
      <xdr:colOff>27940</xdr:colOff>
      <xdr:row>25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>
          <a:off x="8506460" y="1196340"/>
          <a:ext cx="5080" cy="43154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640080</xdr:colOff>
      <xdr:row>26</xdr:row>
      <xdr:rowOff>43180</xdr:rowOff>
    </xdr:from>
    <xdr:to>
      <xdr:col>9</xdr:col>
      <xdr:colOff>205740</xdr:colOff>
      <xdr:row>26</xdr:row>
      <xdr:rowOff>63500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640080" y="5542280"/>
          <a:ext cx="7223760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723900</xdr:colOff>
      <xdr:row>8</xdr:row>
      <xdr:rowOff>50800</xdr:rowOff>
    </xdr:from>
    <xdr:to>
      <xdr:col>2</xdr:col>
      <xdr:colOff>736600</xdr:colOff>
      <xdr:row>24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 flipH="1">
          <a:off x="2311400" y="1917700"/>
          <a:ext cx="12700" cy="3378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571500</xdr:colOff>
      <xdr:row>5</xdr:row>
      <xdr:rowOff>152400</xdr:rowOff>
    </xdr:from>
    <xdr:to>
      <xdr:col>9</xdr:col>
      <xdr:colOff>228600</xdr:colOff>
      <xdr:row>5</xdr:row>
      <xdr:rowOff>165100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>
          <a:off x="571500" y="1384300"/>
          <a:ext cx="7315200" cy="12700"/>
        </a:xfrm>
        <a:prstGeom prst="line">
          <a:avLst/>
        </a:prstGeom>
        <a:ln w="2413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88900</xdr:colOff>
      <xdr:row>5</xdr:row>
      <xdr:rowOff>76200</xdr:rowOff>
    </xdr:from>
    <xdr:to>
      <xdr:col>10</xdr:col>
      <xdr:colOff>774700</xdr:colOff>
      <xdr:row>5</xdr:row>
      <xdr:rowOff>76201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CxnSpPr/>
      </xdr:nvCxnSpPr>
      <xdr:spPr>
        <a:xfrm flipV="1">
          <a:off x="8572500" y="1308100"/>
          <a:ext cx="685800" cy="1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635000</xdr:colOff>
      <xdr:row>25</xdr:row>
      <xdr:rowOff>63500</xdr:rowOff>
    </xdr:from>
    <xdr:to>
      <xdr:col>9</xdr:col>
      <xdr:colOff>203200</xdr:colOff>
      <xdr:row>25</xdr:row>
      <xdr:rowOff>63500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CxnSpPr/>
      </xdr:nvCxnSpPr>
      <xdr:spPr>
        <a:xfrm>
          <a:off x="635000" y="5410200"/>
          <a:ext cx="7226300" cy="0"/>
        </a:xfrm>
        <a:prstGeom prst="line">
          <a:avLst/>
        </a:prstGeom>
        <a:ln w="1016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368300</xdr:colOff>
      <xdr:row>25</xdr:row>
      <xdr:rowOff>76200</xdr:rowOff>
    </xdr:from>
    <xdr:to>
      <xdr:col>10</xdr:col>
      <xdr:colOff>495300</xdr:colOff>
      <xdr:row>25</xdr:row>
      <xdr:rowOff>82550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CxnSpPr/>
      </xdr:nvCxnSpPr>
      <xdr:spPr>
        <a:xfrm>
          <a:off x="8851900" y="5422900"/>
          <a:ext cx="127000" cy="6350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546100</xdr:colOff>
      <xdr:row>4</xdr:row>
      <xdr:rowOff>63500</xdr:rowOff>
    </xdr:from>
    <xdr:to>
      <xdr:col>9</xdr:col>
      <xdr:colOff>266700</xdr:colOff>
      <xdr:row>4</xdr:row>
      <xdr:rowOff>101600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CxnSpPr/>
      </xdr:nvCxnSpPr>
      <xdr:spPr>
        <a:xfrm>
          <a:off x="546100" y="1092200"/>
          <a:ext cx="7378700" cy="381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680720</xdr:colOff>
      <xdr:row>6</xdr:row>
      <xdr:rowOff>43180</xdr:rowOff>
    </xdr:from>
    <xdr:to>
      <xdr:col>10</xdr:col>
      <xdr:colOff>685800</xdr:colOff>
      <xdr:row>25</xdr:row>
      <xdr:rowOff>111760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CxnSpPr/>
      </xdr:nvCxnSpPr>
      <xdr:spPr>
        <a:xfrm flipH="1">
          <a:off x="9164320" y="1490980"/>
          <a:ext cx="5080" cy="396748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660400</xdr:colOff>
      <xdr:row>12</xdr:row>
      <xdr:rowOff>25400</xdr:rowOff>
    </xdr:from>
    <xdr:to>
      <xdr:col>7</xdr:col>
      <xdr:colOff>673100</xdr:colOff>
      <xdr:row>24</xdr:row>
      <xdr:rowOff>177800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CxnSpPr/>
      </xdr:nvCxnSpPr>
      <xdr:spPr>
        <a:xfrm>
          <a:off x="6667500" y="2717800"/>
          <a:ext cx="12700" cy="2603500"/>
        </a:xfrm>
        <a:prstGeom prst="straightConnector1">
          <a:avLst/>
        </a:prstGeom>
        <a:ln>
          <a:solidFill>
            <a:schemeClr val="bg2">
              <a:lumMod val="50000"/>
            </a:schemeClr>
          </a:solidFill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76200</xdr:colOff>
      <xdr:row>46</xdr:row>
      <xdr:rowOff>12700</xdr:rowOff>
    </xdr:from>
    <xdr:to>
      <xdr:col>8</xdr:col>
      <xdr:colOff>660400</xdr:colOff>
      <xdr:row>59</xdr:row>
      <xdr:rowOff>88900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10007600"/>
          <a:ext cx="3060700" cy="2717800"/>
        </a:xfrm>
        <a:prstGeom prst="rect">
          <a:avLst/>
        </a:prstGeom>
      </xdr:spPr>
    </xdr:pic>
    <xdr:clientData/>
  </xdr:twoCellAnchor>
  <xdr:twoCellAnchor editAs="oneCell">
    <xdr:from>
      <xdr:col>8</xdr:col>
      <xdr:colOff>748748</xdr:colOff>
      <xdr:row>47</xdr:row>
      <xdr:rowOff>38100</xdr:rowOff>
    </xdr:from>
    <xdr:to>
      <xdr:col>11</xdr:col>
      <xdr:colOff>533400</xdr:colOff>
      <xdr:row>55</xdr:row>
      <xdr:rowOff>63500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1348" y="10236200"/>
          <a:ext cx="2261152" cy="1651000"/>
        </a:xfrm>
        <a:prstGeom prst="rect">
          <a:avLst/>
        </a:prstGeom>
      </xdr:spPr>
    </xdr:pic>
    <xdr:clientData/>
  </xdr:twoCellAnchor>
  <xdr:oneCellAnchor>
    <xdr:from>
      <xdr:col>4</xdr:col>
      <xdr:colOff>120038</xdr:colOff>
      <xdr:row>6</xdr:row>
      <xdr:rowOff>1085</xdr:rowOff>
    </xdr:from>
    <xdr:ext cx="1334724" cy="40543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3650638" y="1436185"/>
          <a:ext cx="133472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Black Drop</a:t>
          </a:r>
        </a:p>
      </xdr:txBody>
    </xdr:sp>
    <xdr:clientData/>
  </xdr:oneCellAnchor>
  <xdr:oneCellAnchor>
    <xdr:from>
      <xdr:col>4</xdr:col>
      <xdr:colOff>381544</xdr:colOff>
      <xdr:row>9</xdr:row>
      <xdr:rowOff>191585</xdr:rowOff>
    </xdr:from>
    <xdr:ext cx="760913" cy="405432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/>
      </xdr:nvSpPr>
      <xdr:spPr>
        <a:xfrm>
          <a:off x="3912144" y="2236285"/>
          <a:ext cx="7609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 baseline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Mask</a:t>
          </a:r>
          <a:endParaRPr lang="en-US" sz="2000" b="1" cap="none" spc="0">
            <a:ln>
              <a:noFill/>
            </a:ln>
            <a:solidFill>
              <a:schemeClr val="bg1">
                <a:lumMod val="95000"/>
              </a:schemeClr>
            </a:solidFill>
            <a:effectLst/>
          </a:endParaRPr>
        </a:p>
      </xdr:txBody>
    </xdr:sp>
    <xdr:clientData/>
  </xdr:oneCellAnchor>
  <xdr:twoCellAnchor editAs="oneCell">
    <xdr:from>
      <xdr:col>0</xdr:col>
      <xdr:colOff>622300</xdr:colOff>
      <xdr:row>0</xdr:row>
      <xdr:rowOff>63500</xdr:rowOff>
    </xdr:from>
    <xdr:to>
      <xdr:col>2</xdr:col>
      <xdr:colOff>440488</xdr:colOff>
      <xdr:row>3</xdr:row>
      <xdr:rowOff>190500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3C5E84D-3724-3440-A8FD-CFB0D721A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2300" y="635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749300</xdr:colOff>
      <xdr:row>56</xdr:row>
      <xdr:rowOff>25400</xdr:rowOff>
    </xdr:from>
    <xdr:to>
      <xdr:col>11</xdr:col>
      <xdr:colOff>503988</xdr:colOff>
      <xdr:row>60</xdr:row>
      <xdr:rowOff>165100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B108682-A6C4-664D-ADB9-8B29B1CF1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07400" y="12001500"/>
          <a:ext cx="1405688" cy="952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29634</xdr:colOff>
      <xdr:row>20</xdr:row>
      <xdr:rowOff>16933</xdr:rowOff>
    </xdr:from>
    <xdr:to>
      <xdr:col>8</xdr:col>
      <xdr:colOff>776394</xdr:colOff>
      <xdr:row>20</xdr:row>
      <xdr:rowOff>27093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>
        <a:xfrm>
          <a:off x="791634" y="4260850"/>
          <a:ext cx="6821593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12700</xdr:colOff>
      <xdr:row>6</xdr:row>
      <xdr:rowOff>63501</xdr:rowOff>
    </xdr:from>
    <xdr:to>
      <xdr:col>9</xdr:col>
      <xdr:colOff>25400</xdr:colOff>
      <xdr:row>22</xdr:row>
      <xdr:rowOff>21167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774700" y="1492251"/>
          <a:ext cx="6913033" cy="3174999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52917</xdr:colOff>
      <xdr:row>8</xdr:row>
      <xdr:rowOff>1</xdr:rowOff>
    </xdr:from>
    <xdr:to>
      <xdr:col>9</xdr:col>
      <xdr:colOff>0</xdr:colOff>
      <xdr:row>21</xdr:row>
      <xdr:rowOff>169333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CxnSpPr/>
      </xdr:nvCxnSpPr>
      <xdr:spPr>
        <a:xfrm flipV="1">
          <a:off x="814917" y="1830918"/>
          <a:ext cx="6847416" cy="278341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406400</xdr:colOff>
      <xdr:row>5</xdr:row>
      <xdr:rowOff>25401</xdr:rowOff>
    </xdr:from>
    <xdr:to>
      <xdr:col>10</xdr:col>
      <xdr:colOff>452119</xdr:colOff>
      <xdr:row>22</xdr:row>
      <xdr:rowOff>95251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>
          <a:spLocks noChangeArrowheads="1"/>
        </xdr:cNvSpPr>
      </xdr:nvSpPr>
      <xdr:spPr bwMode="auto">
        <a:xfrm>
          <a:off x="8894233" y="1253068"/>
          <a:ext cx="45719" cy="3488266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10</xdr:col>
      <xdr:colOff>21167</xdr:colOff>
      <xdr:row>4</xdr:row>
      <xdr:rowOff>167640</xdr:rowOff>
    </xdr:from>
    <xdr:to>
      <xdr:col>10</xdr:col>
      <xdr:colOff>22860</xdr:colOff>
      <xdr:row>23</xdr:row>
      <xdr:rowOff>31750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CxnSpPr/>
      </xdr:nvCxnSpPr>
      <xdr:spPr>
        <a:xfrm flipH="1">
          <a:off x="8509000" y="1194223"/>
          <a:ext cx="1693" cy="368469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604098</xdr:colOff>
      <xdr:row>23</xdr:row>
      <xdr:rowOff>32596</xdr:rowOff>
    </xdr:from>
    <xdr:to>
      <xdr:col>9</xdr:col>
      <xdr:colOff>169758</xdr:colOff>
      <xdr:row>23</xdr:row>
      <xdr:rowOff>52916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CxnSpPr/>
      </xdr:nvCxnSpPr>
      <xdr:spPr>
        <a:xfrm flipV="1">
          <a:off x="604098" y="4879763"/>
          <a:ext cx="7227993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793750</xdr:colOff>
      <xdr:row>8</xdr:row>
      <xdr:rowOff>40217</xdr:rowOff>
    </xdr:from>
    <xdr:to>
      <xdr:col>2</xdr:col>
      <xdr:colOff>821268</xdr:colOff>
      <xdr:row>21</xdr:row>
      <xdr:rowOff>190500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CxnSpPr/>
      </xdr:nvCxnSpPr>
      <xdr:spPr>
        <a:xfrm flipH="1">
          <a:off x="2381250" y="1871134"/>
          <a:ext cx="27518" cy="276436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571500</xdr:colOff>
      <xdr:row>5</xdr:row>
      <xdr:rowOff>152400</xdr:rowOff>
    </xdr:from>
    <xdr:to>
      <xdr:col>9</xdr:col>
      <xdr:colOff>228600</xdr:colOff>
      <xdr:row>5</xdr:row>
      <xdr:rowOff>165100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CxnSpPr/>
      </xdr:nvCxnSpPr>
      <xdr:spPr>
        <a:xfrm>
          <a:off x="571500" y="1384300"/>
          <a:ext cx="7315200" cy="12700"/>
        </a:xfrm>
        <a:prstGeom prst="line">
          <a:avLst/>
        </a:prstGeom>
        <a:ln w="2413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88900</xdr:colOff>
      <xdr:row>5</xdr:row>
      <xdr:rowOff>76200</xdr:rowOff>
    </xdr:from>
    <xdr:to>
      <xdr:col>10</xdr:col>
      <xdr:colOff>774700</xdr:colOff>
      <xdr:row>5</xdr:row>
      <xdr:rowOff>76201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CxnSpPr/>
      </xdr:nvCxnSpPr>
      <xdr:spPr>
        <a:xfrm flipV="1">
          <a:off x="8572500" y="1308100"/>
          <a:ext cx="685800" cy="1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624417</xdr:colOff>
      <xdr:row>22</xdr:row>
      <xdr:rowOff>52917</xdr:rowOff>
    </xdr:from>
    <xdr:to>
      <xdr:col>9</xdr:col>
      <xdr:colOff>192617</xdr:colOff>
      <xdr:row>22</xdr:row>
      <xdr:rowOff>52917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CxnSpPr/>
      </xdr:nvCxnSpPr>
      <xdr:spPr>
        <a:xfrm>
          <a:off x="624417" y="4699000"/>
          <a:ext cx="7230533" cy="0"/>
        </a:xfrm>
        <a:prstGeom prst="line">
          <a:avLst/>
        </a:prstGeom>
        <a:ln w="101600" cmpd="sng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357716</xdr:colOff>
      <xdr:row>22</xdr:row>
      <xdr:rowOff>118534</xdr:rowOff>
    </xdr:from>
    <xdr:to>
      <xdr:col>10</xdr:col>
      <xdr:colOff>484716</xdr:colOff>
      <xdr:row>22</xdr:row>
      <xdr:rowOff>124884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CxnSpPr/>
      </xdr:nvCxnSpPr>
      <xdr:spPr>
        <a:xfrm>
          <a:off x="8845549" y="4764617"/>
          <a:ext cx="127000" cy="6350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546100</xdr:colOff>
      <xdr:row>4</xdr:row>
      <xdr:rowOff>63500</xdr:rowOff>
    </xdr:from>
    <xdr:to>
      <xdr:col>9</xdr:col>
      <xdr:colOff>266700</xdr:colOff>
      <xdr:row>4</xdr:row>
      <xdr:rowOff>101600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CxnSpPr/>
      </xdr:nvCxnSpPr>
      <xdr:spPr>
        <a:xfrm>
          <a:off x="546100" y="1092200"/>
          <a:ext cx="7378700" cy="381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685800</xdr:colOff>
      <xdr:row>6</xdr:row>
      <xdr:rowOff>43180</xdr:rowOff>
    </xdr:from>
    <xdr:to>
      <xdr:col>10</xdr:col>
      <xdr:colOff>687917</xdr:colOff>
      <xdr:row>22</xdr:row>
      <xdr:rowOff>190500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CxnSpPr/>
      </xdr:nvCxnSpPr>
      <xdr:spPr>
        <a:xfrm>
          <a:off x="9173633" y="1471930"/>
          <a:ext cx="2117" cy="336465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12700</xdr:colOff>
      <xdr:row>13</xdr:row>
      <xdr:rowOff>16933</xdr:rowOff>
    </xdr:from>
    <xdr:to>
      <xdr:col>7</xdr:col>
      <xdr:colOff>812800</xdr:colOff>
      <xdr:row>13</xdr:row>
      <xdr:rowOff>16933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CxnSpPr/>
      </xdr:nvCxnSpPr>
      <xdr:spPr>
        <a:xfrm>
          <a:off x="1600200" y="2853266"/>
          <a:ext cx="5223933" cy="0"/>
        </a:xfrm>
        <a:prstGeom prst="straightConnector1">
          <a:avLst/>
        </a:prstGeom>
        <a:ln>
          <a:solidFill>
            <a:schemeClr val="bg2">
              <a:lumMod val="50000"/>
            </a:schemeClr>
          </a:solidFill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76200</xdr:colOff>
      <xdr:row>46</xdr:row>
      <xdr:rowOff>12700</xdr:rowOff>
    </xdr:from>
    <xdr:to>
      <xdr:col>8</xdr:col>
      <xdr:colOff>660400</xdr:colOff>
      <xdr:row>59</xdr:row>
      <xdr:rowOff>88901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2300" y="10007600"/>
          <a:ext cx="3060700" cy="2717800"/>
        </a:xfrm>
        <a:prstGeom prst="rect">
          <a:avLst/>
        </a:prstGeom>
      </xdr:spPr>
    </xdr:pic>
    <xdr:clientData/>
  </xdr:twoCellAnchor>
  <xdr:twoCellAnchor editAs="oneCell">
    <xdr:from>
      <xdr:col>8</xdr:col>
      <xdr:colOff>748748</xdr:colOff>
      <xdr:row>47</xdr:row>
      <xdr:rowOff>38100</xdr:rowOff>
    </xdr:from>
    <xdr:to>
      <xdr:col>11</xdr:col>
      <xdr:colOff>596900</xdr:colOff>
      <xdr:row>55</xdr:row>
      <xdr:rowOff>63499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1348" y="10236200"/>
          <a:ext cx="2261152" cy="1651000"/>
        </a:xfrm>
        <a:prstGeom prst="rect">
          <a:avLst/>
        </a:prstGeom>
      </xdr:spPr>
    </xdr:pic>
    <xdr:clientData/>
  </xdr:twoCellAnchor>
  <xdr:oneCellAnchor>
    <xdr:from>
      <xdr:col>4</xdr:col>
      <xdr:colOff>21167</xdr:colOff>
      <xdr:row>6</xdr:row>
      <xdr:rowOff>10584</xdr:rowOff>
    </xdr:from>
    <xdr:ext cx="1334724" cy="405432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/>
      </xdr:nvSpPr>
      <xdr:spPr>
        <a:xfrm>
          <a:off x="3556000" y="1439334"/>
          <a:ext cx="133472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Black Drop</a:t>
          </a:r>
        </a:p>
      </xdr:txBody>
    </xdr:sp>
    <xdr:clientData/>
  </xdr:oneCellAnchor>
  <xdr:oneCellAnchor>
    <xdr:from>
      <xdr:col>8</xdr:col>
      <xdr:colOff>39254</xdr:colOff>
      <xdr:row>10</xdr:row>
      <xdr:rowOff>133351</xdr:rowOff>
    </xdr:from>
    <xdr:ext cx="760913" cy="405432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/>
      </xdr:nvSpPr>
      <xdr:spPr>
        <a:xfrm>
          <a:off x="6876087" y="2366434"/>
          <a:ext cx="7609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 baseline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Mask</a:t>
          </a:r>
          <a:endParaRPr lang="en-US" sz="2000" b="1" cap="none" spc="0">
            <a:ln>
              <a:noFill/>
            </a:ln>
            <a:solidFill>
              <a:schemeClr val="bg1">
                <a:lumMod val="95000"/>
              </a:schemeClr>
            </a:solidFill>
            <a:effectLst/>
          </a:endParaRPr>
        </a:p>
      </xdr:txBody>
    </xdr:sp>
    <xdr:clientData/>
  </xdr:oneCellAnchor>
  <xdr:oneCellAnchor>
    <xdr:from>
      <xdr:col>1</xdr:col>
      <xdr:colOff>54070</xdr:colOff>
      <xdr:row>10</xdr:row>
      <xdr:rowOff>52918</xdr:rowOff>
    </xdr:from>
    <xdr:ext cx="760913" cy="405432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/>
      </xdr:nvSpPr>
      <xdr:spPr>
        <a:xfrm>
          <a:off x="816070" y="2286001"/>
          <a:ext cx="7609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000" b="1" cap="none" spc="0" baseline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Mask</a:t>
          </a:r>
          <a:endParaRPr lang="en-US" sz="2000" b="1" cap="none" spc="0">
            <a:ln>
              <a:noFill/>
            </a:ln>
            <a:solidFill>
              <a:schemeClr val="bg1">
                <a:lumMod val="95000"/>
              </a:schemeClr>
            </a:solidFill>
            <a:effectLst/>
          </a:endParaRPr>
        </a:p>
      </xdr:txBody>
    </xdr:sp>
    <xdr:clientData/>
  </xdr:oneCellAnchor>
  <xdr:twoCellAnchor editAs="oneCell">
    <xdr:from>
      <xdr:col>0</xdr:col>
      <xdr:colOff>596900</xdr:colOff>
      <xdr:row>0</xdr:row>
      <xdr:rowOff>50800</xdr:rowOff>
    </xdr:from>
    <xdr:to>
      <xdr:col>2</xdr:col>
      <xdr:colOff>415088</xdr:colOff>
      <xdr:row>3</xdr:row>
      <xdr:rowOff>177800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4521047-134E-424F-A0CE-48389EC68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6900" y="508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55</xdr:row>
      <xdr:rowOff>190500</xdr:rowOff>
    </xdr:from>
    <xdr:to>
      <xdr:col>11</xdr:col>
      <xdr:colOff>745288</xdr:colOff>
      <xdr:row>60</xdr:row>
      <xdr:rowOff>127000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20C8AE1-DFD6-9B44-988D-3523EF94F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85200" y="11747500"/>
          <a:ext cx="1405688" cy="952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73660</xdr:colOff>
      <xdr:row>12</xdr:row>
      <xdr:rowOff>2540</xdr:rowOff>
    </xdr:from>
    <xdr:to>
      <xdr:col>9</xdr:col>
      <xdr:colOff>35560</xdr:colOff>
      <xdr:row>12</xdr:row>
      <xdr:rowOff>2540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CxnSpPr/>
      </xdr:nvCxnSpPr>
      <xdr:spPr>
        <a:xfrm>
          <a:off x="835660" y="2923540"/>
          <a:ext cx="66294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977900</xdr:colOff>
      <xdr:row>3</xdr:row>
      <xdr:rowOff>38099</xdr:rowOff>
    </xdr:from>
    <xdr:to>
      <xdr:col>9</xdr:col>
      <xdr:colOff>75576</xdr:colOff>
      <xdr:row>23</xdr:row>
      <xdr:rowOff>63500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977900" y="863599"/>
          <a:ext cx="8851276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152400</xdr:colOff>
      <xdr:row>3</xdr:row>
      <xdr:rowOff>190500</xdr:rowOff>
    </xdr:from>
    <xdr:to>
      <xdr:col>8</xdr:col>
      <xdr:colOff>1028700</xdr:colOff>
      <xdr:row>22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CxnSpPr/>
      </xdr:nvCxnSpPr>
      <xdr:spPr>
        <a:xfrm flipV="1">
          <a:off x="1168400" y="1016000"/>
          <a:ext cx="85344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Arrowheads="1"/>
        </xdr:cNvSpPr>
      </xdr:nvSpPr>
      <xdr:spPr bwMode="auto">
        <a:xfrm>
          <a:off x="86106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6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CxnSpPr/>
      </xdr:nvCxnSpPr>
      <xdr:spPr>
        <a:xfrm>
          <a:off x="83413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889000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7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CxnSpPr/>
      </xdr:nvCxnSpPr>
      <xdr:spPr>
        <a:xfrm flipV="1">
          <a:off x="889000" y="5245100"/>
          <a:ext cx="90424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76200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8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CxnSpPr/>
      </xdr:nvCxnSpPr>
      <xdr:spPr>
        <a:xfrm>
          <a:off x="2522220" y="889000"/>
          <a:ext cx="0" cy="3657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17780</xdr:colOff>
      <xdr:row>10</xdr:row>
      <xdr:rowOff>25400</xdr:rowOff>
    </xdr:from>
    <xdr:to>
      <xdr:col>7</xdr:col>
      <xdr:colOff>25400</xdr:colOff>
      <xdr:row>22</xdr:row>
      <xdr:rowOff>152400</xdr:rowOff>
    </xdr:to>
    <xdr:cxnSp macro="">
      <xdr:nvCxnSpPr>
        <xdr:cNvPr id="9" name="Straight Arrow Connector 1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CxnSpPr/>
      </xdr:nvCxnSpPr>
      <xdr:spPr>
        <a:xfrm flipH="1">
          <a:off x="5796280" y="2171700"/>
          <a:ext cx="7620" cy="2413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749300</xdr:colOff>
      <xdr:row>0</xdr:row>
      <xdr:rowOff>25400</xdr:rowOff>
    </xdr:from>
    <xdr:to>
      <xdr:col>2</xdr:col>
      <xdr:colOff>567488</xdr:colOff>
      <xdr:row>2</xdr:row>
      <xdr:rowOff>88900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F4EC80-9F3D-AA45-B8E5-0E0661A3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254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368300</xdr:colOff>
      <xdr:row>55</xdr:row>
      <xdr:rowOff>50800</xdr:rowOff>
    </xdr:from>
    <xdr:to>
      <xdr:col>11</xdr:col>
      <xdr:colOff>122988</xdr:colOff>
      <xdr:row>59</xdr:row>
      <xdr:rowOff>190500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44856A9-F0DA-5E45-9FD8-46E71482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7800" y="11061700"/>
          <a:ext cx="1405688" cy="952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9</xdr:row>
      <xdr:rowOff>66040</xdr:rowOff>
    </xdr:from>
    <xdr:to>
      <xdr:col>8</xdr:col>
      <xdr:colOff>797560</xdr:colOff>
      <xdr:row>9</xdr:row>
      <xdr:rowOff>66040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CxnSpPr/>
      </xdr:nvCxnSpPr>
      <xdr:spPr>
        <a:xfrm>
          <a:off x="772160" y="2037080"/>
          <a:ext cx="654812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946152</xdr:colOff>
      <xdr:row>2</xdr:row>
      <xdr:rowOff>177799</xdr:rowOff>
    </xdr:from>
    <xdr:to>
      <xdr:col>9</xdr:col>
      <xdr:colOff>63500</xdr:colOff>
      <xdr:row>23</xdr:row>
      <xdr:rowOff>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946152" y="800099"/>
          <a:ext cx="8769348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127000</xdr:rowOff>
    </xdr:from>
    <xdr:to>
      <xdr:col>8</xdr:col>
      <xdr:colOff>965200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CxnSpPr/>
      </xdr:nvCxnSpPr>
      <xdr:spPr>
        <a:xfrm flipV="1">
          <a:off x="1079500" y="952500"/>
          <a:ext cx="84582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901700</xdr:colOff>
      <xdr:row>24</xdr:row>
      <xdr:rowOff>152400</xdr:rowOff>
    </xdr:from>
    <xdr:to>
      <xdr:col>9</xdr:col>
      <xdr:colOff>177800</xdr:colOff>
      <xdr:row>24</xdr:row>
      <xdr:rowOff>152400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CxnSpPr/>
      </xdr:nvCxnSpPr>
      <xdr:spPr>
        <a:xfrm>
          <a:off x="901700" y="5245100"/>
          <a:ext cx="89281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CxnSpPr/>
      </xdr:nvCxnSpPr>
      <xdr:spPr>
        <a:xfrm>
          <a:off x="2522220" y="901700"/>
          <a:ext cx="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</xdr:colOff>
      <xdr:row>6</xdr:row>
      <xdr:rowOff>20320</xdr:rowOff>
    </xdr:from>
    <xdr:to>
      <xdr:col>8</xdr:col>
      <xdr:colOff>40640</xdr:colOff>
      <xdr:row>20</xdr:row>
      <xdr:rowOff>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CxnSpPr/>
      </xdr:nvCxnSpPr>
      <xdr:spPr>
        <a:xfrm flipH="1">
          <a:off x="6553200" y="1412240"/>
          <a:ext cx="10160" cy="268224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723900</xdr:colOff>
      <xdr:row>0</xdr:row>
      <xdr:rowOff>63500</xdr:rowOff>
    </xdr:from>
    <xdr:to>
      <xdr:col>2</xdr:col>
      <xdr:colOff>542088</xdr:colOff>
      <xdr:row>2</xdr:row>
      <xdr:rowOff>25400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B1E32A9-9E73-844C-BE5A-A78619C59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635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431800</xdr:colOff>
      <xdr:row>53</xdr:row>
      <xdr:rowOff>114300</xdr:rowOff>
    </xdr:from>
    <xdr:to>
      <xdr:col>11</xdr:col>
      <xdr:colOff>186488</xdr:colOff>
      <xdr:row>58</xdr:row>
      <xdr:rowOff>50800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5F747CC-6228-454F-9719-E2FF1687C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7800" y="10769600"/>
          <a:ext cx="1405688" cy="952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10160</xdr:colOff>
      <xdr:row>3</xdr:row>
      <xdr:rowOff>50800</xdr:rowOff>
    </xdr:from>
    <xdr:to>
      <xdr:col>7</xdr:col>
      <xdr:colOff>12700</xdr:colOff>
      <xdr:row>22</xdr:row>
      <xdr:rowOff>182880</xdr:rowOff>
    </xdr:to>
    <xdr:cxnSp macro="">
      <xdr:nvCxnSpPr>
        <xdr:cNvPr id="19" name="Straight Connector 1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CxnSpPr/>
      </xdr:nvCxnSpPr>
      <xdr:spPr>
        <a:xfrm flipH="1">
          <a:off x="7503160" y="876300"/>
          <a:ext cx="2540" cy="399288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952500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952500" y="812799"/>
          <a:ext cx="8775076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177800</xdr:rowOff>
    </xdr:from>
    <xdr:to>
      <xdr:col>8</xdr:col>
      <xdr:colOff>965200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CxnSpPr/>
      </xdr:nvCxnSpPr>
      <xdr:spPr>
        <a:xfrm flipV="1">
          <a:off x="1079500" y="1003300"/>
          <a:ext cx="8458200" cy="37338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86106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6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CxnSpPr/>
      </xdr:nvCxnSpPr>
      <xdr:spPr>
        <a:xfrm>
          <a:off x="83413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901700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7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CxnSpPr/>
      </xdr:nvCxnSpPr>
      <xdr:spPr>
        <a:xfrm flipV="1">
          <a:off x="901700" y="5245100"/>
          <a:ext cx="89281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10160</xdr:colOff>
      <xdr:row>6</xdr:row>
      <xdr:rowOff>86360</xdr:rowOff>
    </xdr:from>
    <xdr:to>
      <xdr:col>8</xdr:col>
      <xdr:colOff>990600</xdr:colOff>
      <xdr:row>6</xdr:row>
      <xdr:rowOff>101600</xdr:rowOff>
    </xdr:to>
    <xdr:cxnSp macro="">
      <xdr:nvCxnSpPr>
        <xdr:cNvPr id="10" name="Straight Arrow Connector 15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CxnSpPr/>
      </xdr:nvCxnSpPr>
      <xdr:spPr>
        <a:xfrm>
          <a:off x="1026160" y="1521460"/>
          <a:ext cx="8536940" cy="1524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13" name="Rectangle 6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3</xdr:col>
      <xdr:colOff>73660</xdr:colOff>
      <xdr:row>19</xdr:row>
      <xdr:rowOff>50800</xdr:rowOff>
    </xdr:from>
    <xdr:to>
      <xdr:col>6</xdr:col>
      <xdr:colOff>1054100</xdr:colOff>
      <xdr:row>19</xdr:row>
      <xdr:rowOff>71120</xdr:rowOff>
    </xdr:to>
    <xdr:cxnSp macro="">
      <xdr:nvCxnSpPr>
        <xdr:cNvPr id="14" name="Straight Arrow Connector 8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CxnSpPr/>
      </xdr:nvCxnSpPr>
      <xdr:spPr>
        <a:xfrm flipV="1">
          <a:off x="3248660" y="4127500"/>
          <a:ext cx="4218940" cy="203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15" name="Straight Arrow Connector 12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3</xdr:row>
      <xdr:rowOff>99060</xdr:rowOff>
    </xdr:from>
    <xdr:to>
      <xdr:col>3</xdr:col>
      <xdr:colOff>495300</xdr:colOff>
      <xdr:row>22</xdr:row>
      <xdr:rowOff>124460</xdr:rowOff>
    </xdr:to>
    <xdr:cxnSp macro="">
      <xdr:nvCxnSpPr>
        <xdr:cNvPr id="17" name="Straight Arrow Connector 17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CxnSpPr/>
      </xdr:nvCxnSpPr>
      <xdr:spPr>
        <a:xfrm>
          <a:off x="2903220" y="92202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</xdr:row>
      <xdr:rowOff>12700</xdr:rowOff>
    </xdr:from>
    <xdr:to>
      <xdr:col>3</xdr:col>
      <xdr:colOff>10160</xdr:colOff>
      <xdr:row>22</xdr:row>
      <xdr:rowOff>172720</xdr:rowOff>
    </xdr:to>
    <xdr:cxnSp macro="">
      <xdr:nvCxnSpPr>
        <xdr:cNvPr id="18" name="Straight Connector 3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CxnSpPr/>
      </xdr:nvCxnSpPr>
      <xdr:spPr>
        <a:xfrm>
          <a:off x="3175000" y="838200"/>
          <a:ext cx="10160" cy="402082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38100</xdr:colOff>
      <xdr:row>0</xdr:row>
      <xdr:rowOff>38100</xdr:rowOff>
    </xdr:from>
    <xdr:to>
      <xdr:col>2</xdr:col>
      <xdr:colOff>618288</xdr:colOff>
      <xdr:row>2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FEA8D1C-8388-3540-908A-93B9B7C39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381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558800</xdr:colOff>
      <xdr:row>54</xdr:row>
      <xdr:rowOff>152400</xdr:rowOff>
    </xdr:from>
    <xdr:to>
      <xdr:col>11</xdr:col>
      <xdr:colOff>313488</xdr:colOff>
      <xdr:row>60</xdr:row>
      <xdr:rowOff>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89750F1-E0BA-714D-9CCA-87AAB36B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11620500"/>
          <a:ext cx="1405688" cy="952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5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CxnSpPr/>
      </xdr:nvCxnSpPr>
      <xdr:spPr>
        <a:xfrm>
          <a:off x="772160" y="14706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965200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rrowheads="1"/>
        </xdr:cNvSpPr>
      </xdr:nvSpPr>
      <xdr:spPr bwMode="auto">
        <a:xfrm>
          <a:off x="965200" y="812799"/>
          <a:ext cx="8762376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114300</xdr:rowOff>
    </xdr:from>
    <xdr:to>
      <xdr:col>8</xdr:col>
      <xdr:colOff>787400</xdr:colOff>
      <xdr:row>22</xdr:row>
      <xdr:rowOff>50800</xdr:rowOff>
    </xdr:to>
    <xdr:cxnSp macro="">
      <xdr:nvCxnSpPr>
        <xdr:cNvPr id="4" name="Straight Arrow Connector 6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CxnSpPr/>
      </xdr:nvCxnSpPr>
      <xdr:spPr>
        <a:xfrm flipV="1">
          <a:off x="825500" y="927100"/>
          <a:ext cx="6502400" cy="3556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12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901700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1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CxnSpPr/>
      </xdr:nvCxnSpPr>
      <xdr:spPr>
        <a:xfrm flipV="1">
          <a:off x="901700" y="5245100"/>
          <a:ext cx="89281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698500</xdr:colOff>
      <xdr:row>3</xdr:row>
      <xdr:rowOff>88900</xdr:rowOff>
    </xdr:from>
    <xdr:to>
      <xdr:col>3</xdr:col>
      <xdr:colOff>698500</xdr:colOff>
      <xdr:row>22</xdr:row>
      <xdr:rowOff>114300</xdr:rowOff>
    </xdr:to>
    <xdr:cxnSp macro="">
      <xdr:nvCxnSpPr>
        <xdr:cNvPr id="9" name="Straight Arrow Connector 17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CxnSpPr/>
      </xdr:nvCxnSpPr>
      <xdr:spPr>
        <a:xfrm>
          <a:off x="3111500" y="901700"/>
          <a:ext cx="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3</xdr:row>
      <xdr:rowOff>93980</xdr:rowOff>
    </xdr:from>
    <xdr:to>
      <xdr:col>5</xdr:col>
      <xdr:colOff>22860</xdr:colOff>
      <xdr:row>23</xdr:row>
      <xdr:rowOff>45720</xdr:rowOff>
    </xdr:to>
    <xdr:cxnSp macro="">
      <xdr:nvCxnSpPr>
        <xdr:cNvPr id="10" name="Straight Connector 3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CxnSpPr/>
      </xdr:nvCxnSpPr>
      <xdr:spPr>
        <a:xfrm>
          <a:off x="4064000" y="906780"/>
          <a:ext cx="22860" cy="3761740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12700</xdr:colOff>
      <xdr:row>3</xdr:row>
      <xdr:rowOff>50800</xdr:rowOff>
    </xdr:from>
    <xdr:to>
      <xdr:col>5</xdr:col>
      <xdr:colOff>35560</xdr:colOff>
      <xdr:row>22</xdr:row>
      <xdr:rowOff>182880</xdr:rowOff>
    </xdr:to>
    <xdr:cxnSp macro="">
      <xdr:nvCxnSpPr>
        <xdr:cNvPr id="11" name="Straight Connector 13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CxnSpPr/>
      </xdr:nvCxnSpPr>
      <xdr:spPr>
        <a:xfrm>
          <a:off x="4093633" y="872067"/>
          <a:ext cx="22860" cy="3832013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711200</xdr:colOff>
      <xdr:row>0</xdr:row>
      <xdr:rowOff>50800</xdr:rowOff>
    </xdr:from>
    <xdr:to>
      <xdr:col>2</xdr:col>
      <xdr:colOff>529388</xdr:colOff>
      <xdr:row>1</xdr:row>
      <xdr:rowOff>495300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CF95818-FF77-2140-A8EB-6CCD7CCA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200" y="508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368300</xdr:colOff>
      <xdr:row>54</xdr:row>
      <xdr:rowOff>177800</xdr:rowOff>
    </xdr:from>
    <xdr:to>
      <xdr:col>11</xdr:col>
      <xdr:colOff>122988</xdr:colOff>
      <xdr:row>59</xdr:row>
      <xdr:rowOff>114300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E138E57-D8C5-FB43-B10D-45F2D6580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4300" y="12077700"/>
          <a:ext cx="1405688" cy="952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698500</xdr:colOff>
      <xdr:row>2</xdr:row>
      <xdr:rowOff>50800</xdr:rowOff>
    </xdr:from>
    <xdr:to>
      <xdr:col>9</xdr:col>
      <xdr:colOff>147320</xdr:colOff>
      <xdr:row>23</xdr:row>
      <xdr:rowOff>170180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0" y="838200"/>
          <a:ext cx="7005320" cy="4196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71120</xdr:colOff>
      <xdr:row>5</xdr:row>
      <xdr:rowOff>137160</xdr:rowOff>
    </xdr:from>
    <xdr:to>
      <xdr:col>9</xdr:col>
      <xdr:colOff>33020</xdr:colOff>
      <xdr:row>5</xdr:row>
      <xdr:rowOff>137160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833120" y="1445260"/>
          <a:ext cx="67564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63500</xdr:colOff>
      <xdr:row>3</xdr:row>
      <xdr:rowOff>101600</xdr:rowOff>
    </xdr:from>
    <xdr:to>
      <xdr:col>8</xdr:col>
      <xdr:colOff>1054100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CxnSpPr/>
      </xdr:nvCxnSpPr>
      <xdr:spPr>
        <a:xfrm flipV="1">
          <a:off x="1079500" y="927100"/>
          <a:ext cx="8851900" cy="3810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114300</xdr:colOff>
      <xdr:row>2</xdr:row>
      <xdr:rowOff>139700</xdr:rowOff>
    </xdr:from>
    <xdr:to>
      <xdr:col>10</xdr:col>
      <xdr:colOff>330200</xdr:colOff>
      <xdr:row>23</xdr:row>
      <xdr:rowOff>127000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Arrowheads="1"/>
        </xdr:cNvSpPr>
      </xdr:nvSpPr>
      <xdr:spPr bwMode="auto">
        <a:xfrm>
          <a:off x="8496300" y="927100"/>
          <a:ext cx="215900" cy="4064000"/>
        </a:xfrm>
        <a:prstGeom prst="rect">
          <a:avLst/>
        </a:prstGeom>
        <a:solidFill>
          <a:schemeClr val="tx1"/>
        </a:solidFill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9</xdr:col>
      <xdr:colOff>685800</xdr:colOff>
      <xdr:row>2</xdr:row>
      <xdr:rowOff>63500</xdr:rowOff>
    </xdr:from>
    <xdr:to>
      <xdr:col>9</xdr:col>
      <xdr:colOff>698500</xdr:colOff>
      <xdr:row>23</xdr:row>
      <xdr:rowOff>177800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CxnSpPr/>
      </xdr:nvCxnSpPr>
      <xdr:spPr>
        <a:xfrm>
          <a:off x="8242300" y="850900"/>
          <a:ext cx="12700" cy="4191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CxnSpPr/>
      </xdr:nvCxnSpPr>
      <xdr:spPr>
        <a:xfrm flipV="1">
          <a:off x="622300" y="49657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533400</xdr:colOff>
      <xdr:row>4</xdr:row>
      <xdr:rowOff>127000</xdr:rowOff>
    </xdr:from>
    <xdr:to>
      <xdr:col>4</xdr:col>
      <xdr:colOff>571500</xdr:colOff>
      <xdr:row>21</xdr:row>
      <xdr:rowOff>76200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CxnSpPr/>
      </xdr:nvCxnSpPr>
      <xdr:spPr>
        <a:xfrm>
          <a:off x="3771900" y="1231900"/>
          <a:ext cx="38100" cy="3403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723900</xdr:colOff>
      <xdr:row>0</xdr:row>
      <xdr:rowOff>50800</xdr:rowOff>
    </xdr:from>
    <xdr:to>
      <xdr:col>2</xdr:col>
      <xdr:colOff>542088</xdr:colOff>
      <xdr:row>1</xdr:row>
      <xdr:rowOff>393700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1C98FD-B182-BF45-91DA-741D79CE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508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63</xdr:row>
      <xdr:rowOff>63500</xdr:rowOff>
    </xdr:from>
    <xdr:to>
      <xdr:col>10</xdr:col>
      <xdr:colOff>732588</xdr:colOff>
      <xdr:row>68</xdr:row>
      <xdr:rowOff>76200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1A062E0-9F2A-DF43-91E7-FD1A88872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08900" y="13398500"/>
          <a:ext cx="1405688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127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901700</xdr:colOff>
      <xdr:row>3</xdr:row>
      <xdr:rowOff>139700</xdr:rowOff>
    </xdr:from>
    <xdr:to>
      <xdr:col>8</xdr:col>
      <xdr:colOff>990600</xdr:colOff>
      <xdr:row>22</xdr:row>
      <xdr:rowOff>101600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V="1">
          <a:off x="762000" y="965200"/>
          <a:ext cx="6604000" cy="382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127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114300</xdr:colOff>
      <xdr:row>3</xdr:row>
      <xdr:rowOff>38100</xdr:rowOff>
    </xdr:from>
    <xdr:to>
      <xdr:col>10</xdr:col>
      <xdr:colOff>114300</xdr:colOff>
      <xdr:row>23</xdr:row>
      <xdr:rowOff>63500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8305800" y="863600"/>
          <a:ext cx="0" cy="4089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749300</xdr:colOff>
      <xdr:row>0</xdr:row>
      <xdr:rowOff>114300</xdr:rowOff>
    </xdr:from>
    <xdr:to>
      <xdr:col>2</xdr:col>
      <xdr:colOff>567488</xdr:colOff>
      <xdr:row>2</xdr:row>
      <xdr:rowOff>12700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814175E-8A6E-CE4B-82A3-FC8DCD27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143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49</xdr:row>
      <xdr:rowOff>25400</xdr:rowOff>
    </xdr:from>
    <xdr:to>
      <xdr:col>10</xdr:col>
      <xdr:colOff>808788</xdr:colOff>
      <xdr:row>54</xdr:row>
      <xdr:rowOff>63500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A2B9D0D-CE87-C041-95A1-A59E44292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4600" y="10426700"/>
          <a:ext cx="1405688" cy="952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9</xdr:row>
      <xdr:rowOff>66040</xdr:rowOff>
    </xdr:from>
    <xdr:to>
      <xdr:col>8</xdr:col>
      <xdr:colOff>797560</xdr:colOff>
      <xdr:row>9</xdr:row>
      <xdr:rowOff>66040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CxnSpPr/>
      </xdr:nvCxnSpPr>
      <xdr:spPr>
        <a:xfrm>
          <a:off x="772160" y="211074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755652</xdr:colOff>
      <xdr:row>2</xdr:row>
      <xdr:rowOff>177799</xdr:rowOff>
    </xdr:from>
    <xdr:to>
      <xdr:col>9</xdr:col>
      <xdr:colOff>63500</xdr:colOff>
      <xdr:row>23</xdr:row>
      <xdr:rowOff>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Arrowheads="1"/>
        </xdr:cNvSpPr>
      </xdr:nvSpPr>
      <xdr:spPr bwMode="auto">
        <a:xfrm>
          <a:off x="755652" y="804332"/>
          <a:ext cx="6707715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127000</xdr:rowOff>
    </xdr:from>
    <xdr:to>
      <xdr:col>8</xdr:col>
      <xdr:colOff>965200</xdr:colOff>
      <xdr:row>22</xdr:row>
      <xdr:rowOff>50800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CxnSpPr/>
      </xdr:nvCxnSpPr>
      <xdr:spPr>
        <a:xfrm flipV="1">
          <a:off x="825500" y="952500"/>
          <a:ext cx="65405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296332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Arrowheads="1"/>
        </xdr:cNvSpPr>
      </xdr:nvSpPr>
      <xdr:spPr bwMode="auto">
        <a:xfrm>
          <a:off x="8525932" y="842433"/>
          <a:ext cx="104987" cy="4076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901700</xdr:colOff>
      <xdr:row>24</xdr:row>
      <xdr:rowOff>152400</xdr:rowOff>
    </xdr:from>
    <xdr:to>
      <xdr:col>9</xdr:col>
      <xdr:colOff>177800</xdr:colOff>
      <xdr:row>24</xdr:row>
      <xdr:rowOff>152400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CxnSpPr/>
      </xdr:nvCxnSpPr>
      <xdr:spPr>
        <a:xfrm>
          <a:off x="762000" y="5245100"/>
          <a:ext cx="67818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723900</xdr:colOff>
      <xdr:row>0</xdr:row>
      <xdr:rowOff>50800</xdr:rowOff>
    </xdr:from>
    <xdr:to>
      <xdr:col>2</xdr:col>
      <xdr:colOff>542088</xdr:colOff>
      <xdr:row>2</xdr:row>
      <xdr:rowOff>38100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E990BC9-A113-0945-A571-4CD3A902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508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584200</xdr:colOff>
      <xdr:row>47</xdr:row>
      <xdr:rowOff>88900</xdr:rowOff>
    </xdr:from>
    <xdr:to>
      <xdr:col>11</xdr:col>
      <xdr:colOff>338888</xdr:colOff>
      <xdr:row>52</xdr:row>
      <xdr:rowOff>25400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92FF48F-D5A3-4A4C-9601-B4628EF2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0200" y="10312400"/>
          <a:ext cx="1405688" cy="9525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114300</xdr:rowOff>
    </xdr:from>
    <xdr:to>
      <xdr:col>8</xdr:col>
      <xdr:colOff>787400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CxnSpPr/>
      </xdr:nvCxnSpPr>
      <xdr:spPr>
        <a:xfrm flipV="1">
          <a:off x="825500" y="939800"/>
          <a:ext cx="6502400" cy="3797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762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723900</xdr:colOff>
      <xdr:row>0</xdr:row>
      <xdr:rowOff>25400</xdr:rowOff>
    </xdr:from>
    <xdr:to>
      <xdr:col>2</xdr:col>
      <xdr:colOff>542088</xdr:colOff>
      <xdr:row>2</xdr:row>
      <xdr:rowOff>88900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07BBEAD-13BF-4643-A230-C6F34600A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254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317500</xdr:colOff>
      <xdr:row>47</xdr:row>
      <xdr:rowOff>0</xdr:rowOff>
    </xdr:from>
    <xdr:to>
      <xdr:col>11</xdr:col>
      <xdr:colOff>72188</xdr:colOff>
      <xdr:row>51</xdr:row>
      <xdr:rowOff>139700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6E4126-8F41-EC4B-A99F-D57B7765B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9944100"/>
          <a:ext cx="1405688" cy="9525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673101</xdr:colOff>
      <xdr:row>0</xdr:row>
      <xdr:rowOff>12700</xdr:rowOff>
    </xdr:from>
    <xdr:to>
      <xdr:col>2</xdr:col>
      <xdr:colOff>304801</xdr:colOff>
      <xdr:row>2</xdr:row>
      <xdr:rowOff>169898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101" y="12700"/>
          <a:ext cx="1219200" cy="779498"/>
        </a:xfrm>
        <a:prstGeom prst="rect">
          <a:avLst/>
        </a:prstGeom>
      </xdr:spPr>
    </xdr:pic>
    <xdr:clientData/>
  </xdr:twoCellAnchor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3175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901700</xdr:colOff>
      <xdr:row>3</xdr:row>
      <xdr:rowOff>139700</xdr:rowOff>
    </xdr:from>
    <xdr:to>
      <xdr:col>8</xdr:col>
      <xdr:colOff>990600</xdr:colOff>
      <xdr:row>22</xdr:row>
      <xdr:rowOff>101600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CxnSpPr/>
      </xdr:nvCxnSpPr>
      <xdr:spPr>
        <a:xfrm flipV="1">
          <a:off x="762000" y="965200"/>
          <a:ext cx="6604000" cy="382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3175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419101</xdr:colOff>
      <xdr:row>50</xdr:row>
      <xdr:rowOff>50800</xdr:rowOff>
    </xdr:from>
    <xdr:to>
      <xdr:col>10</xdr:col>
      <xdr:colOff>812801</xdr:colOff>
      <xdr:row>54</xdr:row>
      <xdr:rowOff>119098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5101" y="10248900"/>
          <a:ext cx="1219200" cy="7794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772160" y="14706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3822701"/>
        </a:xfrm>
        <a:prstGeom prst="rect">
          <a:avLst/>
        </a:prstGeom>
        <a:noFill/>
        <a:ln w="28575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901700</xdr:colOff>
      <xdr:row>3</xdr:row>
      <xdr:rowOff>139700</xdr:rowOff>
    </xdr:from>
    <xdr:to>
      <xdr:col>8</xdr:col>
      <xdr:colOff>990600</xdr:colOff>
      <xdr:row>22</xdr:row>
      <xdr:rowOff>101600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 flipV="1">
          <a:off x="901700" y="965200"/>
          <a:ext cx="8661400" cy="382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flipV="1">
          <a:off x="622300" y="49657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2522220" y="901700"/>
          <a:ext cx="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12700</xdr:colOff>
      <xdr:row>0</xdr:row>
      <xdr:rowOff>88900</xdr:rowOff>
    </xdr:from>
    <xdr:to>
      <xdr:col>2</xdr:col>
      <xdr:colOff>592888</xdr:colOff>
      <xdr:row>2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1B2CFA-942C-9B43-A948-FBA7EBD7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700" y="889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49</xdr:row>
      <xdr:rowOff>63500</xdr:rowOff>
    </xdr:from>
    <xdr:to>
      <xdr:col>11</xdr:col>
      <xdr:colOff>21388</xdr:colOff>
      <xdr:row>54</xdr:row>
      <xdr:rowOff>101600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D9F0128-1F4E-E946-BB8E-9D918E45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2700" y="10477500"/>
          <a:ext cx="1405688" cy="952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114300</xdr:rowOff>
    </xdr:from>
    <xdr:to>
      <xdr:col>8</xdr:col>
      <xdr:colOff>787400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825500" y="939800"/>
          <a:ext cx="6502400" cy="3797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762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749300</xdr:colOff>
      <xdr:row>0</xdr:row>
      <xdr:rowOff>101600</xdr:rowOff>
    </xdr:from>
    <xdr:to>
      <xdr:col>2</xdr:col>
      <xdr:colOff>567488</xdr:colOff>
      <xdr:row>2</xdr:row>
      <xdr:rowOff>63500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B527FA4-23CA-2149-9ACC-834CACEE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016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393700</xdr:colOff>
      <xdr:row>53</xdr:row>
      <xdr:rowOff>25400</xdr:rowOff>
    </xdr:from>
    <xdr:to>
      <xdr:col>11</xdr:col>
      <xdr:colOff>148388</xdr:colOff>
      <xdr:row>57</xdr:row>
      <xdr:rowOff>165100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5A59EEF-334F-8A4F-A560-417753A78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9700" y="11290300"/>
          <a:ext cx="1405688" cy="952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</xdr:col>
      <xdr:colOff>63500</xdr:colOff>
      <xdr:row>3</xdr:row>
      <xdr:rowOff>114300</xdr:rowOff>
    </xdr:from>
    <xdr:to>
      <xdr:col>8</xdr:col>
      <xdr:colOff>787400</xdr:colOff>
      <xdr:row>22</xdr:row>
      <xdr:rowOff>50800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 flipV="1">
          <a:off x="825500" y="939800"/>
          <a:ext cx="6502400" cy="3797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762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12700</xdr:colOff>
      <xdr:row>0</xdr:row>
      <xdr:rowOff>76200</xdr:rowOff>
    </xdr:from>
    <xdr:to>
      <xdr:col>2</xdr:col>
      <xdr:colOff>592888</xdr:colOff>
      <xdr:row>2</xdr:row>
      <xdr:rowOff>114300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3EED146-994F-FE49-91D5-B5FFC7FD8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700" y="762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317500</xdr:colOff>
      <xdr:row>53</xdr:row>
      <xdr:rowOff>165100</xdr:rowOff>
    </xdr:from>
    <xdr:to>
      <xdr:col>11</xdr:col>
      <xdr:colOff>72188</xdr:colOff>
      <xdr:row>58</xdr:row>
      <xdr:rowOff>101600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0043A03-2338-4249-AA60-D41C15569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00" y="11353800"/>
          <a:ext cx="1405688" cy="952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>
          <a:off x="772160" y="14706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952500</xdr:colOff>
      <xdr:row>3</xdr:row>
      <xdr:rowOff>165100</xdr:rowOff>
    </xdr:from>
    <xdr:to>
      <xdr:col>8</xdr:col>
      <xdr:colOff>927100</xdr:colOff>
      <xdr:row>22</xdr:row>
      <xdr:rowOff>88900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CxnSpPr/>
      </xdr:nvCxnSpPr>
      <xdr:spPr>
        <a:xfrm flipV="1">
          <a:off x="952500" y="990600"/>
          <a:ext cx="85471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 flipV="1">
          <a:off x="622300" y="49657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2522220" y="901700"/>
          <a:ext cx="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673100</xdr:colOff>
      <xdr:row>0</xdr:row>
      <xdr:rowOff>12700</xdr:rowOff>
    </xdr:from>
    <xdr:to>
      <xdr:col>2</xdr:col>
      <xdr:colOff>491288</xdr:colOff>
      <xdr:row>2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191B9C1-4EF7-9645-AE2B-F3514BC7B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100" y="127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53</xdr:row>
      <xdr:rowOff>177800</xdr:rowOff>
    </xdr:from>
    <xdr:to>
      <xdr:col>11</xdr:col>
      <xdr:colOff>21388</xdr:colOff>
      <xdr:row>58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577F1CE-5A79-7746-9D84-330BEC97A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2700" y="10807700"/>
          <a:ext cx="1405688" cy="952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</xdr:colOff>
      <xdr:row>6</xdr:row>
      <xdr:rowOff>86360</xdr:rowOff>
    </xdr:from>
    <xdr:to>
      <xdr:col>8</xdr:col>
      <xdr:colOff>797560</xdr:colOff>
      <xdr:row>6</xdr:row>
      <xdr:rowOff>86360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>
          <a:off x="772160" y="1521460"/>
          <a:ext cx="656590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704852</xdr:colOff>
      <xdr:row>2</xdr:row>
      <xdr:rowOff>190499</xdr:rowOff>
    </xdr:from>
    <xdr:to>
      <xdr:col>9</xdr:col>
      <xdr:colOff>75576</xdr:colOff>
      <xdr:row>23</xdr:row>
      <xdr:rowOff>12700</xdr:rowOff>
    </xdr:to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704852" y="812799"/>
          <a:ext cx="6736724" cy="40894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0</xdr:col>
      <xdr:colOff>952500</xdr:colOff>
      <xdr:row>3</xdr:row>
      <xdr:rowOff>165100</xdr:rowOff>
    </xdr:from>
    <xdr:to>
      <xdr:col>8</xdr:col>
      <xdr:colOff>927100</xdr:colOff>
      <xdr:row>22</xdr:row>
      <xdr:rowOff>88900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 flipV="1">
          <a:off x="762000" y="990600"/>
          <a:ext cx="6604000" cy="3784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8547100" y="838200"/>
          <a:ext cx="45719" cy="4076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8277860" y="777240"/>
          <a:ext cx="0" cy="42164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24</xdr:row>
      <xdr:rowOff>152400</xdr:rowOff>
    </xdr:from>
    <xdr:to>
      <xdr:col>9</xdr:col>
      <xdr:colOff>177800</xdr:colOff>
      <xdr:row>24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 flipV="1">
          <a:off x="622300" y="5245100"/>
          <a:ext cx="69215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109220</xdr:colOff>
      <xdr:row>3</xdr:row>
      <xdr:rowOff>88900</xdr:rowOff>
    </xdr:from>
    <xdr:to>
      <xdr:col>3</xdr:col>
      <xdr:colOff>109220</xdr:colOff>
      <xdr:row>22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2522220" y="914400"/>
          <a:ext cx="0" cy="38862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698500</xdr:colOff>
      <xdr:row>0</xdr:row>
      <xdr:rowOff>88900</xdr:rowOff>
    </xdr:from>
    <xdr:to>
      <xdr:col>2</xdr:col>
      <xdr:colOff>516688</xdr:colOff>
      <xdr:row>2</xdr:row>
      <xdr:rowOff>25400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81F6B60-31F4-4F49-BF32-2AAFF6B1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0" y="889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53</xdr:row>
      <xdr:rowOff>114300</xdr:rowOff>
    </xdr:from>
    <xdr:to>
      <xdr:col>10</xdr:col>
      <xdr:colOff>770688</xdr:colOff>
      <xdr:row>58</xdr:row>
      <xdr:rowOff>50800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576A2AA-9E93-114E-B3B0-478A6F0E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500" y="10591800"/>
          <a:ext cx="1405688" cy="952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640080</xdr:colOff>
      <xdr:row>2</xdr:row>
      <xdr:rowOff>132080</xdr:rowOff>
    </xdr:from>
    <xdr:to>
      <xdr:col>9</xdr:col>
      <xdr:colOff>152400</xdr:colOff>
      <xdr:row>23</xdr:row>
      <xdr:rowOff>60960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80" y="751840"/>
          <a:ext cx="6858000" cy="4196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20320</xdr:colOff>
      <xdr:row>5</xdr:row>
      <xdr:rowOff>127000</xdr:rowOff>
    </xdr:from>
    <xdr:to>
      <xdr:col>8</xdr:col>
      <xdr:colOff>807720</xdr:colOff>
      <xdr:row>5</xdr:row>
      <xdr:rowOff>127000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CxnSpPr/>
      </xdr:nvCxnSpPr>
      <xdr:spPr>
        <a:xfrm>
          <a:off x="782320" y="1356360"/>
          <a:ext cx="6548120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927100</xdr:colOff>
      <xdr:row>4</xdr:row>
      <xdr:rowOff>12700</xdr:rowOff>
    </xdr:from>
    <xdr:to>
      <xdr:col>8</xdr:col>
      <xdr:colOff>965200</xdr:colOff>
      <xdr:row>22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CxnSpPr/>
      </xdr:nvCxnSpPr>
      <xdr:spPr>
        <a:xfrm flipV="1">
          <a:off x="927100" y="1041400"/>
          <a:ext cx="8610600" cy="36449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355600</xdr:colOff>
      <xdr:row>3</xdr:row>
      <xdr:rowOff>12700</xdr:rowOff>
    </xdr:from>
    <xdr:to>
      <xdr:col>10</xdr:col>
      <xdr:colOff>401319</xdr:colOff>
      <xdr:row>23</xdr:row>
      <xdr:rowOff>25401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47100" y="825500"/>
          <a:ext cx="45719" cy="3822701"/>
        </a:xfrm>
        <a:prstGeom prst="rect">
          <a:avLst/>
        </a:prstGeom>
        <a:noFill/>
        <a:ln w="12065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2</xdr:row>
      <xdr:rowOff>154940</xdr:rowOff>
    </xdr:from>
    <xdr:to>
      <xdr:col>10</xdr:col>
      <xdr:colOff>86360</xdr:colOff>
      <xdr:row>23</xdr:row>
      <xdr:rowOff>104140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>
          <a:off x="8277860" y="777240"/>
          <a:ext cx="0" cy="3949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622300</xdr:colOff>
      <xdr:row>23</xdr:row>
      <xdr:rowOff>162560</xdr:rowOff>
    </xdr:from>
    <xdr:to>
      <xdr:col>9</xdr:col>
      <xdr:colOff>177800</xdr:colOff>
      <xdr:row>23</xdr:row>
      <xdr:rowOff>175260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CxnSpPr/>
      </xdr:nvCxnSpPr>
      <xdr:spPr>
        <a:xfrm flipV="1">
          <a:off x="622300" y="5049520"/>
          <a:ext cx="690118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314960</xdr:colOff>
      <xdr:row>3</xdr:row>
      <xdr:rowOff>182880</xdr:rowOff>
    </xdr:from>
    <xdr:to>
      <xdr:col>1</xdr:col>
      <xdr:colOff>325120</xdr:colOff>
      <xdr:row>22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CxnSpPr/>
      </xdr:nvCxnSpPr>
      <xdr:spPr>
        <a:xfrm>
          <a:off x="1076960" y="1005840"/>
          <a:ext cx="10160" cy="36779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685800</xdr:colOff>
      <xdr:row>0</xdr:row>
      <xdr:rowOff>139700</xdr:rowOff>
    </xdr:from>
    <xdr:to>
      <xdr:col>2</xdr:col>
      <xdr:colOff>503988</xdr:colOff>
      <xdr:row>2</xdr:row>
      <xdr:rowOff>25400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A643D77-F980-AD4A-AB16-0A51DC71B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1397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254000</xdr:colOff>
      <xdr:row>46</xdr:row>
      <xdr:rowOff>12700</xdr:rowOff>
    </xdr:from>
    <xdr:to>
      <xdr:col>11</xdr:col>
      <xdr:colOff>8688</xdr:colOff>
      <xdr:row>50</xdr:row>
      <xdr:rowOff>152400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14FF64A-DD07-0348-83FE-6B3819574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9931400"/>
          <a:ext cx="1405688" cy="952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452120</xdr:colOff>
      <xdr:row>4</xdr:row>
      <xdr:rowOff>77816</xdr:rowOff>
    </xdr:from>
    <xdr:to>
      <xdr:col>9</xdr:col>
      <xdr:colOff>218440</xdr:colOff>
      <xdr:row>25</xdr:row>
      <xdr:rowOff>114300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120" y="1195416"/>
          <a:ext cx="7462520" cy="4303684"/>
        </a:xfrm>
        <a:prstGeom prst="rect">
          <a:avLst/>
        </a:prstGeom>
      </xdr:spPr>
    </xdr:pic>
    <xdr:clientData/>
  </xdr:twoCellAnchor>
  <xdr:twoCellAnchor>
    <xdr:from>
      <xdr:col>1</xdr:col>
      <xdr:colOff>553720</xdr:colOff>
      <xdr:row>12</xdr:row>
      <xdr:rowOff>111760</xdr:rowOff>
    </xdr:from>
    <xdr:to>
      <xdr:col>8</xdr:col>
      <xdr:colOff>147320</xdr:colOff>
      <xdr:row>12</xdr:row>
      <xdr:rowOff>121920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CxnSpPr/>
      </xdr:nvCxnSpPr>
      <xdr:spPr>
        <a:xfrm flipV="1">
          <a:off x="1315720" y="2854960"/>
          <a:ext cx="5702300" cy="101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584200</xdr:colOff>
      <xdr:row>11</xdr:row>
      <xdr:rowOff>127000</xdr:rowOff>
    </xdr:from>
    <xdr:to>
      <xdr:col>8</xdr:col>
      <xdr:colOff>139700</xdr:colOff>
      <xdr:row>24</xdr:row>
      <xdr:rowOff>63500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CxnSpPr/>
      </xdr:nvCxnSpPr>
      <xdr:spPr>
        <a:xfrm flipV="1">
          <a:off x="1346200" y="2667000"/>
          <a:ext cx="5664200" cy="25781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292100</xdr:colOff>
      <xdr:row>6</xdr:row>
      <xdr:rowOff>61684</xdr:rowOff>
    </xdr:from>
    <xdr:to>
      <xdr:col>10</xdr:col>
      <xdr:colOff>337819</xdr:colOff>
      <xdr:row>25</xdr:row>
      <xdr:rowOff>12700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8813800" y="1496784"/>
          <a:ext cx="45719" cy="3811816"/>
        </a:xfrm>
        <a:prstGeom prst="rect">
          <a:avLst/>
        </a:prstGeom>
        <a:noFill/>
        <a:ln w="38100" cmpd="sng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CC99FF" mc:Ignorable="a14" a14:legacySpreadsheetColorIndex="46">
                  <a:alpha val="52000"/>
                </a:srgbClr>
              </a:solidFill>
            </a14:hiddenFill>
          </a:ext>
        </a:extLst>
      </xdr:spPr>
    </xdr:sp>
    <xdr:clientData/>
  </xdr:twoCellAnchor>
  <xdr:twoCellAnchor>
    <xdr:from>
      <xdr:col>10</xdr:col>
      <xdr:colOff>86360</xdr:colOff>
      <xdr:row>4</xdr:row>
      <xdr:rowOff>154940</xdr:rowOff>
    </xdr:from>
    <xdr:to>
      <xdr:col>10</xdr:col>
      <xdr:colOff>114300</xdr:colOff>
      <xdr:row>25</xdr:row>
      <xdr:rowOff>76200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CxnSpPr/>
      </xdr:nvCxnSpPr>
      <xdr:spPr>
        <a:xfrm>
          <a:off x="8608060" y="1183640"/>
          <a:ext cx="27940" cy="418846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1003300</xdr:colOff>
      <xdr:row>11</xdr:row>
      <xdr:rowOff>76200</xdr:rowOff>
    </xdr:from>
    <xdr:to>
      <xdr:col>3</xdr:col>
      <xdr:colOff>1016000</xdr:colOff>
      <xdr:row>24</xdr:row>
      <xdr:rowOff>88900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CxnSpPr/>
      </xdr:nvCxnSpPr>
      <xdr:spPr>
        <a:xfrm>
          <a:off x="3454400" y="2527300"/>
          <a:ext cx="12700" cy="26543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152400</xdr:colOff>
      <xdr:row>5</xdr:row>
      <xdr:rowOff>114300</xdr:rowOff>
    </xdr:from>
    <xdr:to>
      <xdr:col>10</xdr:col>
      <xdr:colOff>622300</xdr:colOff>
      <xdr:row>5</xdr:row>
      <xdr:rowOff>114300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CxnSpPr/>
      </xdr:nvCxnSpPr>
      <xdr:spPr>
        <a:xfrm>
          <a:off x="8636000" y="1384300"/>
          <a:ext cx="469900" cy="0"/>
        </a:xfrm>
        <a:prstGeom prst="line">
          <a:avLst/>
        </a:prstGeom>
        <a:ln w="241300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203200</xdr:colOff>
      <xdr:row>25</xdr:row>
      <xdr:rowOff>12700</xdr:rowOff>
    </xdr:from>
    <xdr:to>
      <xdr:col>10</xdr:col>
      <xdr:colOff>393700</xdr:colOff>
      <xdr:row>25</xdr:row>
      <xdr:rowOff>21771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CxnSpPr/>
      </xdr:nvCxnSpPr>
      <xdr:spPr>
        <a:xfrm>
          <a:off x="8724900" y="5308600"/>
          <a:ext cx="190500" cy="9071"/>
        </a:xfrm>
        <a:prstGeom prst="line">
          <a:avLst/>
        </a:prstGeom>
        <a:ln w="114300">
          <a:solidFill>
            <a:srgbClr val="00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471714</xdr:colOff>
      <xdr:row>3</xdr:row>
      <xdr:rowOff>190500</xdr:rowOff>
    </xdr:from>
    <xdr:to>
      <xdr:col>9</xdr:col>
      <xdr:colOff>208643</xdr:colOff>
      <xdr:row>4</xdr:row>
      <xdr:rowOff>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CxnSpPr/>
      </xdr:nvCxnSpPr>
      <xdr:spPr>
        <a:xfrm>
          <a:off x="471714" y="1043214"/>
          <a:ext cx="7393215" cy="9072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685800</xdr:colOff>
      <xdr:row>6</xdr:row>
      <xdr:rowOff>43180</xdr:rowOff>
    </xdr:from>
    <xdr:to>
      <xdr:col>10</xdr:col>
      <xdr:colOff>711200</xdr:colOff>
      <xdr:row>25</xdr:row>
      <xdr:rowOff>50800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CxnSpPr/>
      </xdr:nvCxnSpPr>
      <xdr:spPr>
        <a:xfrm>
          <a:off x="9207500" y="1478280"/>
          <a:ext cx="25400" cy="386842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172720</xdr:colOff>
      <xdr:row>16</xdr:row>
      <xdr:rowOff>193040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3698240" y="26822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3</xdr:col>
      <xdr:colOff>317500</xdr:colOff>
      <xdr:row>51</xdr:row>
      <xdr:rowOff>112268</xdr:rowOff>
    </xdr:from>
    <xdr:to>
      <xdr:col>5</xdr:col>
      <xdr:colOff>469900</xdr:colOff>
      <xdr:row>57</xdr:row>
      <xdr:rowOff>88900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600" y="10488168"/>
          <a:ext cx="2095500" cy="2313432"/>
        </a:xfrm>
        <a:prstGeom prst="rect">
          <a:avLst/>
        </a:prstGeom>
      </xdr:spPr>
    </xdr:pic>
    <xdr:clientData/>
  </xdr:twoCellAnchor>
  <xdr:twoCellAnchor editAs="oneCell">
    <xdr:from>
      <xdr:col>6</xdr:col>
      <xdr:colOff>177800</xdr:colOff>
      <xdr:row>51</xdr:row>
      <xdr:rowOff>50800</xdr:rowOff>
    </xdr:from>
    <xdr:to>
      <xdr:col>8</xdr:col>
      <xdr:colOff>700958</xdr:colOff>
      <xdr:row>57</xdr:row>
      <xdr:rowOff>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639"/>
        <a:stretch/>
      </xdr:blipFill>
      <xdr:spPr>
        <a:xfrm>
          <a:off x="5397500" y="10426700"/>
          <a:ext cx="2174158" cy="2286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190500</xdr:rowOff>
    </xdr:from>
    <xdr:to>
      <xdr:col>8</xdr:col>
      <xdr:colOff>774700</xdr:colOff>
      <xdr:row>26</xdr:row>
      <xdr:rowOff>0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CxnSpPr/>
      </xdr:nvCxnSpPr>
      <xdr:spPr>
        <a:xfrm>
          <a:off x="762000" y="5486400"/>
          <a:ext cx="6883400" cy="12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520700</xdr:colOff>
      <xdr:row>0</xdr:row>
      <xdr:rowOff>76200</xdr:rowOff>
    </xdr:from>
    <xdr:to>
      <xdr:col>2</xdr:col>
      <xdr:colOff>300788</xdr:colOff>
      <xdr:row>3</xdr:row>
      <xdr:rowOff>114300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782094C-431A-C542-AF6D-8086EB7D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700" y="76200"/>
          <a:ext cx="1405688" cy="952500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317500</xdr:colOff>
      <xdr:row>55</xdr:row>
      <xdr:rowOff>165100</xdr:rowOff>
    </xdr:from>
    <xdr:to>
      <xdr:col>11</xdr:col>
      <xdr:colOff>72188</xdr:colOff>
      <xdr:row>57</xdr:row>
      <xdr:rowOff>152400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E71FB5A-47D6-504B-A743-36C6B28B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13700" y="12001500"/>
          <a:ext cx="1405688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C19"/>
  <sheetViews>
    <sheetView showGridLines="0" zoomScaleNormal="100" zoomScalePageLayoutView="120" workbookViewId="0">
      <selection activeCell="F9" sqref="F9"/>
    </sheetView>
  </sheetViews>
  <sheetFormatPr baseColWidth="10" defaultColWidth="11" defaultRowHeight="16"/>
  <cols>
    <col min="3" max="3" width="91.33203125" customWidth="1"/>
  </cols>
  <sheetData>
    <row r="1" spans="3:3">
      <c r="C1" s="1"/>
    </row>
    <row r="2" spans="3:3">
      <c r="C2" s="1"/>
    </row>
    <row r="3" spans="3:3">
      <c r="C3" s="1"/>
    </row>
    <row r="4" spans="3:3">
      <c r="C4" s="1"/>
    </row>
    <row r="5" spans="3:3">
      <c r="C5" s="1"/>
    </row>
    <row r="6" spans="3:3">
      <c r="C6" s="1"/>
    </row>
    <row r="7" spans="3:3">
      <c r="C7" s="1"/>
    </row>
    <row r="8" spans="3:3" ht="33" customHeight="1">
      <c r="C8" s="1"/>
    </row>
    <row r="9" spans="3:3" ht="23">
      <c r="C9" s="315" t="s">
        <v>163</v>
      </c>
    </row>
    <row r="10" spans="3:3" ht="20">
      <c r="C10" s="88"/>
    </row>
    <row r="11" spans="3:3" ht="20">
      <c r="C11" s="316" t="s">
        <v>0</v>
      </c>
    </row>
    <row r="12" spans="3:3" ht="20">
      <c r="C12" s="316" t="s">
        <v>155</v>
      </c>
    </row>
    <row r="13" spans="3:3" ht="20">
      <c r="C13" s="316" t="s">
        <v>156</v>
      </c>
    </row>
    <row r="14" spans="3:3" ht="13" customHeight="1">
      <c r="C14" s="316"/>
    </row>
    <row r="15" spans="3:3" ht="18">
      <c r="C15" s="317" t="s">
        <v>1</v>
      </c>
    </row>
    <row r="16" spans="3:3" ht="18">
      <c r="C16" s="317" t="s">
        <v>157</v>
      </c>
    </row>
    <row r="17" spans="3:3" ht="28" customHeight="1">
      <c r="C17" s="318" t="s">
        <v>2</v>
      </c>
    </row>
    <row r="18" spans="3:3">
      <c r="C18" s="109"/>
    </row>
    <row r="19" spans="3:3" ht="20">
      <c r="C19" s="319" t="s">
        <v>3</v>
      </c>
    </row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76"/>
  <sheetViews>
    <sheetView showGridLines="0" workbookViewId="0">
      <selection activeCell="C33" sqref="C33"/>
    </sheetView>
  </sheetViews>
  <sheetFormatPr baseColWidth="10" defaultColWidth="10.83203125" defaultRowHeight="16"/>
  <cols>
    <col min="1" max="1" width="10" style="1" customWidth="1"/>
    <col min="2" max="3" width="10.83203125" style="1"/>
    <col min="4" max="4" width="14.6640625" style="1" bestFit="1" customWidth="1"/>
    <col min="5" max="16384" width="10.83203125" style="1"/>
  </cols>
  <sheetData>
    <row r="1" spans="1:12" ht="27" customHeight="1">
      <c r="A1" s="326" t="s">
        <v>79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2" s="88" customFormat="1" ht="27" customHeight="1">
      <c r="A2" s="327" t="str">
        <f>+ROUND(B32,1)&amp;""""&amp;" "&amp;E32&amp;" Aspect Ratio"</f>
        <v>96.5" 1.78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2" customFormat="1">
      <c r="K3" s="1"/>
    </row>
    <row r="4" spans="1:12" customFormat="1">
      <c r="E4" s="144">
        <f>E33</f>
        <v>2780</v>
      </c>
      <c r="F4" s="145">
        <f>+E4/$E$37</f>
        <v>109.44881889763781</v>
      </c>
      <c r="K4" s="141">
        <f>+C37</f>
        <v>145</v>
      </c>
    </row>
    <row r="5" spans="1:12" s="88" customFormat="1" ht="20">
      <c r="A5" s="140"/>
      <c r="B5" s="140"/>
      <c r="C5" s="140"/>
      <c r="D5" s="140"/>
      <c r="G5" s="140"/>
      <c r="H5" s="140"/>
      <c r="I5" s="140"/>
      <c r="J5" s="140"/>
      <c r="K5" s="146">
        <f>+K4/$E$37</f>
        <v>5.7086614173228352</v>
      </c>
      <c r="L5" s="142"/>
    </row>
    <row r="6" spans="1:12" s="2" customFormat="1" ht="16" customHeight="1">
      <c r="A6" s="143"/>
      <c r="B6" s="143"/>
      <c r="C6" s="143"/>
      <c r="D6" s="143"/>
      <c r="G6" s="143"/>
      <c r="H6" s="143"/>
      <c r="I6" s="143"/>
      <c r="J6" s="143"/>
      <c r="L6" s="147"/>
    </row>
    <row r="7" spans="1:12">
      <c r="A7" s="148"/>
      <c r="B7" s="20"/>
      <c r="C7" s="20"/>
      <c r="D7" s="20"/>
      <c r="E7" s="20"/>
      <c r="F7" s="20"/>
      <c r="G7" s="20"/>
      <c r="H7" s="20"/>
      <c r="I7" s="20"/>
      <c r="J7" s="149">
        <f>+F33</f>
        <v>136</v>
      </c>
      <c r="K7" s="148"/>
      <c r="L7" s="148"/>
    </row>
    <row r="8" spans="1:12">
      <c r="A8" s="148"/>
      <c r="B8" s="20"/>
      <c r="C8" s="20"/>
      <c r="D8" s="20"/>
      <c r="E8" s="20"/>
      <c r="F8" s="20"/>
      <c r="G8" s="20"/>
      <c r="H8" s="20"/>
      <c r="I8" s="20"/>
      <c r="J8" s="150">
        <f>+J7/E37</f>
        <v>5.3543307086614176</v>
      </c>
      <c r="K8" s="20"/>
      <c r="L8" s="148"/>
    </row>
    <row r="9" spans="1:12">
      <c r="A9" s="148"/>
      <c r="B9" s="20"/>
      <c r="C9" s="20"/>
      <c r="D9" s="20"/>
      <c r="E9" s="20"/>
      <c r="F9" s="20"/>
      <c r="G9" s="20"/>
      <c r="H9" s="20"/>
      <c r="I9" s="20"/>
      <c r="K9" s="20"/>
      <c r="L9" s="148"/>
    </row>
    <row r="10" spans="1:12">
      <c r="A10" s="151">
        <f>+E34</f>
        <v>500</v>
      </c>
      <c r="B10" s="20"/>
      <c r="C10" s="20"/>
      <c r="D10" s="20"/>
      <c r="E10" s="20"/>
      <c r="F10" s="20"/>
      <c r="G10" s="20"/>
      <c r="H10" s="20"/>
      <c r="I10" s="20"/>
      <c r="J10" s="148"/>
      <c r="K10" s="20"/>
      <c r="L10" s="148"/>
    </row>
    <row r="11" spans="1:12">
      <c r="A11" s="152">
        <f>+A10/E37</f>
        <v>19.685039370078741</v>
      </c>
      <c r="B11" s="20"/>
      <c r="C11" s="20"/>
      <c r="D11" s="20"/>
      <c r="E11" s="20"/>
      <c r="F11" s="20"/>
      <c r="G11" s="20"/>
      <c r="H11" s="20"/>
      <c r="I11" s="20"/>
      <c r="J11" s="148"/>
      <c r="K11" s="20"/>
      <c r="L11" s="148"/>
    </row>
    <row r="12" spans="1:12">
      <c r="A12" s="148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148"/>
    </row>
    <row r="13" spans="1:12">
      <c r="A13" s="148"/>
      <c r="B13" s="20"/>
      <c r="C13" s="20"/>
      <c r="D13" s="148"/>
      <c r="E13" s="148"/>
      <c r="F13" s="20"/>
      <c r="G13" s="20"/>
      <c r="H13" s="20"/>
      <c r="I13" s="20"/>
      <c r="K13" s="20"/>
      <c r="L13" s="148"/>
    </row>
    <row r="14" spans="1:12">
      <c r="A14" s="20"/>
      <c r="B14" s="20"/>
      <c r="C14" s="20"/>
      <c r="D14" s="20"/>
      <c r="E14" s="141">
        <f>+C32</f>
        <v>2450</v>
      </c>
      <c r="F14" s="20"/>
      <c r="G14" s="20"/>
      <c r="H14" s="20"/>
      <c r="I14" s="20"/>
      <c r="K14" s="20"/>
      <c r="L14" s="148"/>
    </row>
    <row r="15" spans="1:12">
      <c r="B15" s="20"/>
      <c r="C15" s="20"/>
      <c r="D15" s="148"/>
      <c r="E15" s="153">
        <f>+E14/$E$37</f>
        <v>96.456692913385837</v>
      </c>
      <c r="F15" s="148"/>
      <c r="G15" s="20"/>
      <c r="H15" s="20"/>
      <c r="I15" s="20"/>
      <c r="J15" s="148"/>
      <c r="K15" s="20"/>
      <c r="L15" s="148"/>
    </row>
    <row r="16" spans="1:12">
      <c r="B16" s="20"/>
      <c r="C16" s="20"/>
      <c r="D16" s="148"/>
      <c r="F16" s="20"/>
      <c r="G16" s="20"/>
      <c r="H16" s="20"/>
      <c r="I16" s="20"/>
      <c r="J16" s="20"/>
      <c r="K16" s="20"/>
      <c r="L16" s="148"/>
    </row>
    <row r="17" spans="1:12">
      <c r="A17" s="20"/>
      <c r="B17" s="20"/>
      <c r="C17" s="20"/>
      <c r="D17" s="148"/>
      <c r="F17" s="20"/>
      <c r="G17" s="20"/>
      <c r="H17" s="20"/>
      <c r="I17" s="20"/>
      <c r="J17" s="154">
        <f>+C35</f>
        <v>2102.4044943820227</v>
      </c>
      <c r="K17" s="20"/>
      <c r="L17" s="155">
        <f>C18+A10+A27</f>
        <v>1966.4044943820224</v>
      </c>
    </row>
    <row r="18" spans="1:12">
      <c r="B18" s="20"/>
      <c r="C18" s="154">
        <f>+C33</f>
        <v>1376.4044943820224</v>
      </c>
      <c r="D18" s="148"/>
      <c r="E18" s="20"/>
      <c r="F18" s="148"/>
      <c r="G18" s="20"/>
      <c r="H18" s="20"/>
      <c r="I18" s="20"/>
      <c r="J18" s="156">
        <f>+J17/$E$37</f>
        <v>82.771830487481211</v>
      </c>
      <c r="K18" s="20"/>
      <c r="L18" s="157">
        <f>+L17/$E$37</f>
        <v>77.417499778819789</v>
      </c>
    </row>
    <row r="19" spans="1:12">
      <c r="B19" s="20"/>
      <c r="C19" s="156">
        <f>+C18/$E$37</f>
        <v>54.18915332212687</v>
      </c>
      <c r="D19" s="20"/>
      <c r="E19" s="20"/>
      <c r="F19" s="148"/>
      <c r="G19" s="148"/>
      <c r="H19" s="20"/>
      <c r="I19" s="20"/>
      <c r="J19" s="20"/>
      <c r="K19" s="20"/>
      <c r="L19" s="148"/>
    </row>
    <row r="20" spans="1:12">
      <c r="A20" s="20"/>
      <c r="B20" s="20"/>
      <c r="C20" s="20"/>
      <c r="D20" s="20"/>
      <c r="E20" s="20"/>
      <c r="F20" s="154">
        <f>+C36</f>
        <v>2810.1582397002185</v>
      </c>
      <c r="G20" s="148"/>
      <c r="H20" s="20"/>
      <c r="I20" s="20"/>
      <c r="J20" s="20"/>
      <c r="K20" s="20"/>
      <c r="L20" s="148"/>
    </row>
    <row r="21" spans="1:12">
      <c r="A21" s="20"/>
      <c r="B21" s="20"/>
      <c r="C21" s="20"/>
      <c r="D21" s="20"/>
      <c r="E21" s="20"/>
      <c r="F21" s="156">
        <f>+F20/$E$37</f>
        <v>110.63615116929995</v>
      </c>
      <c r="G21" s="20"/>
      <c r="H21" s="20"/>
      <c r="I21" s="20"/>
      <c r="J21" s="20"/>
      <c r="K21" s="20"/>
      <c r="L21" s="148"/>
    </row>
    <row r="22" spans="1:1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148"/>
    </row>
    <row r="23" spans="1:12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148"/>
    </row>
    <row r="24" spans="1:12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148"/>
    </row>
    <row r="25" spans="1:12">
      <c r="A25" s="20"/>
      <c r="B25" s="20"/>
      <c r="C25" s="20"/>
      <c r="D25" s="20"/>
      <c r="E25" s="158"/>
      <c r="F25" s="20"/>
      <c r="G25" s="20"/>
      <c r="H25" s="20"/>
      <c r="I25" s="20"/>
      <c r="J25" s="20"/>
      <c r="K25" s="20"/>
      <c r="L25" s="148"/>
    </row>
    <row r="26" spans="1:12">
      <c r="A26" s="20"/>
      <c r="B26" s="20"/>
      <c r="C26" s="20"/>
      <c r="D26" s="20"/>
      <c r="E26" s="159"/>
      <c r="F26" s="20"/>
      <c r="G26" s="20"/>
      <c r="H26" s="20"/>
      <c r="I26" s="20"/>
      <c r="J26" s="20"/>
      <c r="K26" s="20"/>
      <c r="L26" s="148"/>
    </row>
    <row r="27" spans="1:12">
      <c r="A27" s="149">
        <v>90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148"/>
    </row>
    <row r="28" spans="1:12">
      <c r="A28" s="160">
        <f>A27/25.4</f>
        <v>3.5433070866141736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148"/>
    </row>
    <row r="29" spans="1:12">
      <c r="A29" s="148"/>
      <c r="B29" s="20"/>
      <c r="C29" s="20"/>
      <c r="D29" s="20"/>
      <c r="E29" s="161"/>
      <c r="F29" s="146"/>
      <c r="G29" s="20"/>
      <c r="H29" s="20"/>
      <c r="I29" s="20"/>
      <c r="J29" s="20"/>
      <c r="K29" s="148"/>
      <c r="L29" s="148"/>
    </row>
    <row r="30" spans="1:12" ht="17" thickBot="1">
      <c r="A30" s="20"/>
      <c r="B30" s="20"/>
      <c r="C30" s="20"/>
      <c r="D30" s="20"/>
      <c r="G30" s="20"/>
      <c r="H30" s="20"/>
      <c r="I30" s="20"/>
      <c r="J30" s="20"/>
      <c r="K30" s="148"/>
      <c r="L30" s="148"/>
    </row>
    <row r="31" spans="1:12">
      <c r="A31" s="9"/>
      <c r="B31" s="10" t="s">
        <v>5</v>
      </c>
      <c r="C31" s="11" t="s">
        <v>6</v>
      </c>
      <c r="D31" s="12" t="s">
        <v>7</v>
      </c>
      <c r="E31" s="328" t="s">
        <v>69</v>
      </c>
      <c r="F31" s="329"/>
      <c r="G31" s="12" t="s">
        <v>8</v>
      </c>
      <c r="H31" s="330">
        <f ca="1">NOW()</f>
        <v>43377.415750578701</v>
      </c>
      <c r="I31" s="330"/>
      <c r="J31" s="330"/>
      <c r="K31" s="331"/>
    </row>
    <row r="32" spans="1:12">
      <c r="A32" s="136" t="s">
        <v>9</v>
      </c>
      <c r="B32" s="101">
        <f t="shared" ref="B32:B37" si="0">+C32/$E$37</f>
        <v>96.456692913385837</v>
      </c>
      <c r="C32" s="86">
        <v>2450</v>
      </c>
      <c r="D32" s="137" t="s">
        <v>10</v>
      </c>
      <c r="E32" s="332">
        <v>1.78</v>
      </c>
      <c r="F32" s="333"/>
      <c r="G32" s="16" t="s">
        <v>11</v>
      </c>
      <c r="H32" s="334"/>
      <c r="I32" s="334"/>
      <c r="J32" s="334"/>
      <c r="K32" s="335"/>
    </row>
    <row r="33" spans="1:11">
      <c r="A33" s="13" t="s">
        <v>12</v>
      </c>
      <c r="B33" s="101">
        <f t="shared" si="0"/>
        <v>54.18915332212687</v>
      </c>
      <c r="C33" s="52">
        <f>+C32/E32</f>
        <v>1376.4044943820224</v>
      </c>
      <c r="D33" s="16" t="s">
        <v>70</v>
      </c>
      <c r="E33" s="17">
        <f>C32+330</f>
        <v>2780</v>
      </c>
      <c r="F33" s="17">
        <v>136</v>
      </c>
      <c r="G33" s="16" t="s">
        <v>15</v>
      </c>
      <c r="H33" s="323"/>
      <c r="I33" s="324"/>
      <c r="J33" s="324"/>
      <c r="K33" s="325"/>
    </row>
    <row r="34" spans="1:11">
      <c r="A34" s="13" t="s">
        <v>16</v>
      </c>
      <c r="B34" s="101">
        <f t="shared" si="0"/>
        <v>109.44881889763781</v>
      </c>
      <c r="C34" s="53">
        <f>E33</f>
        <v>2780</v>
      </c>
      <c r="D34" s="16" t="s">
        <v>71</v>
      </c>
      <c r="E34" s="17">
        <v>500</v>
      </c>
      <c r="F34" s="102" t="s">
        <v>80</v>
      </c>
      <c r="G34" s="103"/>
      <c r="H34" s="183"/>
      <c r="I34" s="3"/>
      <c r="J34" s="3"/>
      <c r="K34" s="21"/>
    </row>
    <row r="35" spans="1:11">
      <c r="A35" s="13" t="s">
        <v>19</v>
      </c>
      <c r="B35" s="101">
        <f t="shared" si="0"/>
        <v>82.771830487481211</v>
      </c>
      <c r="C35" s="53">
        <f>+C33+J7+A10+90</f>
        <v>2102.4044943820227</v>
      </c>
      <c r="D35" s="22" t="s">
        <v>20</v>
      </c>
      <c r="E35" s="104" t="s">
        <v>72</v>
      </c>
      <c r="F35" s="24" t="s">
        <v>152</v>
      </c>
      <c r="G35" s="25"/>
      <c r="H35" s="25"/>
      <c r="I35" s="25"/>
      <c r="J35" s="25"/>
      <c r="K35" s="26"/>
    </row>
    <row r="36" spans="1:11">
      <c r="A36" s="13" t="s">
        <v>21</v>
      </c>
      <c r="B36" s="101">
        <f t="shared" si="0"/>
        <v>110.63615116929995</v>
      </c>
      <c r="C36" s="53">
        <f>SQRT((C32^2)+(C33^2))</f>
        <v>2810.1582397002185</v>
      </c>
      <c r="D36" s="22" t="s">
        <v>73</v>
      </c>
      <c r="E36" s="52">
        <f>C34-50</f>
        <v>2730</v>
      </c>
      <c r="F36" s="24" t="s">
        <v>74</v>
      </c>
      <c r="G36" s="25"/>
      <c r="H36" s="25"/>
      <c r="I36" s="25"/>
      <c r="J36" s="25"/>
      <c r="K36" s="26"/>
    </row>
    <row r="37" spans="1:11" ht="17" thickBot="1">
      <c r="A37" s="28" t="s">
        <v>23</v>
      </c>
      <c r="B37" s="105">
        <f t="shared" si="0"/>
        <v>5.7086614173228352</v>
      </c>
      <c r="C37" s="61">
        <v>145</v>
      </c>
      <c r="D37" s="31" t="s">
        <v>24</v>
      </c>
      <c r="E37" s="63">
        <v>25.4</v>
      </c>
      <c r="F37" s="33"/>
      <c r="G37" s="33"/>
      <c r="H37" s="33"/>
      <c r="I37" s="33"/>
      <c r="J37" s="33"/>
      <c r="K37" s="72" t="s">
        <v>59</v>
      </c>
    </row>
    <row r="39" spans="1:11" ht="16" customHeight="1">
      <c r="B39" s="112" t="s">
        <v>26</v>
      </c>
      <c r="C39" s="115"/>
      <c r="D39" s="120"/>
      <c r="E39" s="120"/>
      <c r="F39" s="115"/>
      <c r="G39" s="115"/>
      <c r="H39" s="115"/>
      <c r="I39" s="115"/>
      <c r="J39" s="115"/>
      <c r="K39" s="115"/>
    </row>
    <row r="40" spans="1:11" ht="7" customHeight="1">
      <c r="B40" s="113"/>
      <c r="C40" s="3"/>
      <c r="D40" s="25"/>
      <c r="E40" s="25"/>
      <c r="F40" s="3"/>
    </row>
    <row r="41" spans="1:11" ht="16" customHeight="1">
      <c r="B41" s="108"/>
      <c r="C41" s="121" t="s">
        <v>27</v>
      </c>
      <c r="D41" s="121" t="s">
        <v>5</v>
      </c>
      <c r="E41" s="121" t="s">
        <v>6</v>
      </c>
    </row>
    <row r="42" spans="1:11" ht="16" customHeight="1">
      <c r="B42" s="108" t="s">
        <v>28</v>
      </c>
      <c r="C42" s="111" t="s">
        <v>29</v>
      </c>
      <c r="D42" s="110">
        <v>160</v>
      </c>
      <c r="E42" s="110">
        <f>D42*25.4</f>
        <v>4064</v>
      </c>
      <c r="F42" s="3"/>
    </row>
    <row r="43" spans="1:11" ht="16" customHeight="1">
      <c r="B43" s="108" t="s">
        <v>30</v>
      </c>
      <c r="C43" s="111" t="s">
        <v>31</v>
      </c>
      <c r="D43" s="110">
        <v>160</v>
      </c>
      <c r="E43" s="110">
        <f>D43*25.4</f>
        <v>4064</v>
      </c>
      <c r="G43" s="3" t="s">
        <v>32</v>
      </c>
    </row>
    <row r="44" spans="1:11" ht="16" customHeight="1">
      <c r="B44" s="108"/>
      <c r="C44" s="111"/>
      <c r="D44" s="110"/>
      <c r="E44" s="110"/>
    </row>
    <row r="45" spans="1:11">
      <c r="B45" s="107" t="s">
        <v>33</v>
      </c>
      <c r="C45" s="115"/>
      <c r="D45" s="115"/>
      <c r="E45" s="115"/>
      <c r="F45" s="115"/>
      <c r="G45" s="115"/>
      <c r="H45" s="115"/>
      <c r="I45" s="115"/>
      <c r="J45" s="115"/>
      <c r="K45" s="115"/>
    </row>
    <row r="46" spans="1:11">
      <c r="B46" s="35" t="s">
        <v>75</v>
      </c>
      <c r="C46" s="35"/>
      <c r="D46" s="35"/>
      <c r="E46" s="35"/>
      <c r="F46" s="35"/>
      <c r="G46" s="35"/>
      <c r="H46" s="35"/>
    </row>
    <row r="47" spans="1:11">
      <c r="B47" s="35" t="s">
        <v>76</v>
      </c>
      <c r="C47" s="35"/>
      <c r="D47" s="35"/>
      <c r="E47" s="35"/>
      <c r="F47" s="35"/>
      <c r="G47" s="35"/>
      <c r="H47" s="35"/>
    </row>
    <row r="48" spans="1:11">
      <c r="B48" s="35"/>
      <c r="C48" s="35"/>
      <c r="D48" s="35"/>
      <c r="E48" s="35"/>
      <c r="F48" s="35"/>
      <c r="G48" s="35"/>
      <c r="H48" s="35"/>
    </row>
    <row r="49" spans="1:11">
      <c r="B49" s="107" t="s">
        <v>38</v>
      </c>
      <c r="C49" s="115"/>
      <c r="D49" s="115"/>
      <c r="E49" s="115"/>
      <c r="F49" s="115"/>
      <c r="G49" s="115"/>
      <c r="H49" s="115"/>
      <c r="I49" s="115"/>
      <c r="J49" s="115"/>
      <c r="K49" s="115"/>
    </row>
    <row r="50" spans="1:11">
      <c r="B50" s="1" t="s">
        <v>77</v>
      </c>
    </row>
    <row r="51" spans="1:11" ht="7" customHeight="1"/>
    <row r="52" spans="1:11">
      <c r="B52" s="1" t="s">
        <v>78</v>
      </c>
    </row>
    <row r="53" spans="1:11">
      <c r="B53" s="65">
        <f>+E33+100</f>
        <v>2880</v>
      </c>
      <c r="C53" s="1" t="s">
        <v>41</v>
      </c>
    </row>
    <row r="54" spans="1:11">
      <c r="B54" s="36">
        <v>350</v>
      </c>
      <c r="C54" s="1" t="s">
        <v>42</v>
      </c>
    </row>
    <row r="55" spans="1:11">
      <c r="B55" s="36">
        <v>250</v>
      </c>
      <c r="C55" s="1" t="s">
        <v>23</v>
      </c>
    </row>
    <row r="56" spans="1:11">
      <c r="B56" s="37"/>
    </row>
    <row r="60" spans="1:11" ht="20">
      <c r="A60" s="357" t="s">
        <v>81</v>
      </c>
      <c r="B60" s="357"/>
      <c r="C60" s="357"/>
      <c r="D60" s="357"/>
      <c r="E60" s="357"/>
      <c r="F60" s="357"/>
      <c r="G60" s="357"/>
      <c r="H60" s="357"/>
      <c r="I60" s="357"/>
      <c r="J60" s="357"/>
      <c r="K60" s="357"/>
    </row>
    <row r="63" spans="1:11">
      <c r="C63" s="1">
        <v>155</v>
      </c>
    </row>
    <row r="66" spans="2:11" ht="18">
      <c r="H66" s="175"/>
    </row>
    <row r="67" spans="2:11">
      <c r="C67" s="1">
        <v>145</v>
      </c>
    </row>
    <row r="69" spans="2:11" ht="19">
      <c r="K69" s="176"/>
    </row>
    <row r="70" spans="2:11" ht="19">
      <c r="K70" s="176"/>
    </row>
    <row r="71" spans="2:11" ht="19">
      <c r="B71" s="177">
        <v>136</v>
      </c>
      <c r="K71" s="176"/>
    </row>
    <row r="72" spans="2:11" ht="19">
      <c r="K72" s="176"/>
    </row>
    <row r="76" spans="2:11">
      <c r="C76" s="1">
        <v>175</v>
      </c>
    </row>
  </sheetData>
  <mergeCells count="8">
    <mergeCell ref="A60:K60"/>
    <mergeCell ref="H33:K33"/>
    <mergeCell ref="A1:K1"/>
    <mergeCell ref="A2:K2"/>
    <mergeCell ref="E31:F31"/>
    <mergeCell ref="H31:K31"/>
    <mergeCell ref="E32:F32"/>
    <mergeCell ref="H32:K32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/>
  <rowBreaks count="1" manualBreakCount="1">
    <brk id="56" max="11" man="1"/>
  </rowBreaks>
  <colBreaks count="1" manualBreakCount="1">
    <brk id="11" max="81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54"/>
  <sheetViews>
    <sheetView showGridLines="0" topLeftCell="A7" workbookViewId="0">
      <selection activeCell="B39" sqref="B39:E41"/>
    </sheetView>
  </sheetViews>
  <sheetFormatPr baseColWidth="10" defaultColWidth="10.83203125" defaultRowHeight="16"/>
  <cols>
    <col min="1" max="1" width="10" style="1" customWidth="1"/>
    <col min="2" max="3" width="10.83203125" style="1"/>
    <col min="4" max="4" width="14.6640625" style="1" bestFit="1" customWidth="1"/>
    <col min="5" max="11" width="10.83203125" style="1"/>
    <col min="12" max="12" width="8" style="1" customWidth="1"/>
    <col min="13" max="16384" width="10.83203125" style="1"/>
  </cols>
  <sheetData>
    <row r="1" spans="1:12" ht="25">
      <c r="A1" s="326" t="s">
        <v>140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2" s="88" customFormat="1" ht="20">
      <c r="A2" s="327" t="str">
        <f>+ROUND(B30,1)&amp;""""&amp;" "&amp;E30&amp;" Aspect Ratio"</f>
        <v>160" 2.35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2" s="88" customFormat="1" ht="20">
      <c r="A3" s="287"/>
      <c r="B3" s="287"/>
      <c r="C3" s="287"/>
      <c r="D3" s="287"/>
      <c r="E3" s="287"/>
      <c r="F3" s="287"/>
      <c r="G3" s="287"/>
      <c r="H3" s="287"/>
      <c r="I3" s="287"/>
      <c r="J3" s="287"/>
      <c r="K3" s="291">
        <f>+C35</f>
        <v>148</v>
      </c>
    </row>
    <row r="4" spans="1:12" s="2" customFormat="1" ht="16" customHeight="1">
      <c r="A4" s="286"/>
      <c r="B4" s="286"/>
      <c r="C4" s="286"/>
      <c r="D4" s="286"/>
      <c r="E4" s="77">
        <f>E31</f>
        <v>4628</v>
      </c>
      <c r="F4" s="89">
        <f>+E4/$E$35</f>
        <v>182.20472440944883</v>
      </c>
      <c r="G4" s="286"/>
      <c r="H4" s="286"/>
      <c r="I4" s="286"/>
      <c r="J4" s="286"/>
      <c r="K4" s="90">
        <f>+K3/$E$35</f>
        <v>5.8267716535433074</v>
      </c>
    </row>
    <row r="5" spans="1:12">
      <c r="B5" s="3"/>
      <c r="C5" s="3"/>
      <c r="D5" s="3"/>
      <c r="E5" s="3"/>
      <c r="F5" s="3"/>
      <c r="G5" s="3"/>
      <c r="H5" s="3"/>
      <c r="I5" s="3"/>
      <c r="J5" s="3"/>
    </row>
    <row r="6" spans="1:12">
      <c r="B6" s="20"/>
      <c r="C6" s="20"/>
      <c r="D6" s="3"/>
      <c r="E6" s="3"/>
      <c r="F6" s="3"/>
      <c r="G6" s="3"/>
      <c r="H6" s="20"/>
      <c r="I6" s="20"/>
      <c r="J6" s="91">
        <f>+F31</f>
        <v>140</v>
      </c>
      <c r="K6" s="3"/>
    </row>
    <row r="7" spans="1:12">
      <c r="B7" s="292"/>
      <c r="C7" s="292"/>
      <c r="D7" s="292"/>
      <c r="E7" s="292"/>
      <c r="F7" s="292"/>
      <c r="G7" s="292"/>
      <c r="H7" s="292"/>
      <c r="I7" s="292"/>
      <c r="J7" s="92">
        <f>+J6/E35</f>
        <v>5.5118110236220472</v>
      </c>
      <c r="K7" s="3"/>
    </row>
    <row r="8" spans="1:12">
      <c r="A8" s="93">
        <f>+E32</f>
        <v>500</v>
      </c>
      <c r="B8" s="292"/>
      <c r="C8" s="292"/>
      <c r="D8" s="292"/>
      <c r="E8" s="292"/>
      <c r="F8" s="292"/>
      <c r="G8" s="292"/>
      <c r="H8" s="292"/>
      <c r="I8" s="292"/>
      <c r="K8" s="3"/>
    </row>
    <row r="9" spans="1:12">
      <c r="A9" s="94">
        <f>+A8/E35</f>
        <v>19.685039370078741</v>
      </c>
      <c r="B9" s="292"/>
      <c r="C9" s="292"/>
      <c r="D9" s="292"/>
      <c r="E9" s="292"/>
      <c r="F9" s="292"/>
      <c r="G9" s="292"/>
      <c r="H9" s="292"/>
      <c r="I9" s="292"/>
      <c r="K9" s="3"/>
    </row>
    <row r="10" spans="1:12">
      <c r="B10" s="20"/>
      <c r="C10" s="20"/>
      <c r="D10" s="3"/>
      <c r="E10" s="3"/>
      <c r="F10" s="3"/>
      <c r="G10" s="3"/>
      <c r="H10" s="20"/>
      <c r="I10" s="20"/>
      <c r="J10" s="3"/>
      <c r="K10" s="3"/>
    </row>
    <row r="11" spans="1:12">
      <c r="B11" s="20"/>
      <c r="C11" s="20"/>
      <c r="E11" s="291">
        <f>+C30</f>
        <v>4064</v>
      </c>
      <c r="F11" s="3"/>
      <c r="G11" s="3"/>
      <c r="H11" s="20"/>
      <c r="I11" s="20"/>
      <c r="J11" s="3"/>
      <c r="K11" s="3"/>
    </row>
    <row r="12" spans="1:12">
      <c r="A12" s="3"/>
      <c r="B12" s="20"/>
      <c r="C12" s="20"/>
      <c r="D12" s="3"/>
      <c r="E12" s="95">
        <f>+E11/$E$35</f>
        <v>160</v>
      </c>
      <c r="F12" s="3"/>
      <c r="G12" s="3"/>
      <c r="H12" s="20"/>
      <c r="I12" s="20"/>
      <c r="J12" s="3"/>
      <c r="K12" s="3"/>
    </row>
    <row r="13" spans="1:12">
      <c r="A13" s="3"/>
      <c r="B13" s="20"/>
      <c r="C13" s="20"/>
      <c r="E13" s="3"/>
      <c r="G13" s="3"/>
      <c r="H13" s="20"/>
      <c r="I13" s="20"/>
      <c r="K13" s="3"/>
    </row>
    <row r="14" spans="1:12">
      <c r="A14" s="3"/>
      <c r="B14" s="20"/>
      <c r="C14" s="20"/>
      <c r="E14" s="3"/>
      <c r="F14" s="5"/>
      <c r="G14" s="3"/>
      <c r="H14" s="20"/>
      <c r="I14" s="20"/>
      <c r="J14" s="3"/>
      <c r="K14" s="3"/>
    </row>
    <row r="15" spans="1:12">
      <c r="A15" s="3"/>
      <c r="B15" s="20"/>
      <c r="C15" s="20"/>
      <c r="D15" s="291">
        <f>+C31</f>
        <v>1729.3617021276596</v>
      </c>
      <c r="E15" s="3"/>
      <c r="F15" s="3"/>
      <c r="G15" s="3"/>
      <c r="H15" s="20"/>
      <c r="I15" s="20"/>
      <c r="J15" s="6">
        <f>+C33</f>
        <v>2439.3617021276596</v>
      </c>
      <c r="K15" s="3"/>
      <c r="L15" s="96">
        <f>D15+A8+A25</f>
        <v>2304.3617021276596</v>
      </c>
    </row>
    <row r="16" spans="1:12">
      <c r="A16" s="3"/>
      <c r="B16" s="20"/>
      <c r="C16" s="20"/>
      <c r="D16" s="89">
        <f>+D15/$E$35</f>
        <v>68.085106382978722</v>
      </c>
      <c r="E16" s="3"/>
      <c r="G16" s="3"/>
      <c r="H16" s="20"/>
      <c r="I16" s="20"/>
      <c r="J16" s="95">
        <f>+J15/$E$35</f>
        <v>96.037862288490544</v>
      </c>
      <c r="K16" s="3"/>
      <c r="L16" s="97">
        <f>+L15/$E$35</f>
        <v>90.722901658569285</v>
      </c>
    </row>
    <row r="17" spans="1:11">
      <c r="A17" s="3"/>
      <c r="B17" s="20"/>
      <c r="C17" s="20"/>
      <c r="D17" s="3"/>
      <c r="E17" s="3"/>
      <c r="H17" s="20"/>
      <c r="I17" s="20"/>
      <c r="J17" s="3"/>
      <c r="K17" s="3"/>
    </row>
    <row r="18" spans="1:11">
      <c r="A18" s="3"/>
      <c r="B18" s="20"/>
      <c r="C18" s="20"/>
      <c r="D18" s="3"/>
      <c r="E18" s="3"/>
      <c r="F18" s="291">
        <f>+C34</f>
        <v>4416.6489442546681</v>
      </c>
      <c r="H18" s="20"/>
      <c r="I18" s="20"/>
      <c r="J18" s="3"/>
      <c r="K18" s="3"/>
    </row>
    <row r="19" spans="1:11">
      <c r="A19" s="3"/>
      <c r="B19" s="20"/>
      <c r="C19" s="20"/>
      <c r="D19" s="3"/>
      <c r="E19" s="3"/>
      <c r="F19" s="89">
        <f>+F18/$E$35</f>
        <v>173.8838167029397</v>
      </c>
      <c r="G19" s="3"/>
      <c r="H19" s="20"/>
      <c r="I19" s="20"/>
      <c r="J19" s="3"/>
      <c r="K19" s="3"/>
    </row>
    <row r="20" spans="1:11">
      <c r="A20" s="3"/>
      <c r="B20" s="20"/>
      <c r="C20" s="20"/>
      <c r="D20" s="3"/>
      <c r="E20" s="3"/>
      <c r="F20" s="3"/>
      <c r="G20" s="3"/>
      <c r="H20" s="20"/>
      <c r="I20" s="20"/>
      <c r="J20" s="3"/>
      <c r="K20" s="3"/>
    </row>
    <row r="21" spans="1:11">
      <c r="A21" s="3"/>
      <c r="B21" s="20"/>
      <c r="C21" s="20"/>
      <c r="D21" s="3"/>
      <c r="E21" s="3"/>
      <c r="F21" s="3"/>
      <c r="G21" s="3"/>
      <c r="H21" s="20"/>
      <c r="I21" s="20"/>
      <c r="J21" s="3"/>
      <c r="K21" s="3"/>
    </row>
    <row r="22" spans="1:11">
      <c r="A22" s="3"/>
      <c r="B22" s="20"/>
      <c r="C22" s="20"/>
      <c r="D22" s="3"/>
      <c r="E22" s="3"/>
      <c r="F22" s="3"/>
      <c r="G22" s="3"/>
      <c r="H22" s="20"/>
      <c r="I22" s="20"/>
      <c r="J22" s="3"/>
      <c r="K22" s="3"/>
    </row>
    <row r="23" spans="1:11">
      <c r="A23" s="3"/>
      <c r="B23" s="20"/>
      <c r="C23" s="20"/>
      <c r="D23" s="3"/>
      <c r="E23" s="7"/>
      <c r="F23" s="3"/>
      <c r="G23" s="3"/>
      <c r="H23" s="20"/>
      <c r="I23" s="20"/>
      <c r="J23" s="3"/>
      <c r="K23" s="3"/>
    </row>
    <row r="24" spans="1:11">
      <c r="A24" s="3"/>
      <c r="B24" s="20"/>
      <c r="C24" s="20"/>
      <c r="D24" s="3"/>
      <c r="E24" s="8"/>
      <c r="F24" s="3"/>
      <c r="G24" s="3"/>
      <c r="H24" s="20"/>
      <c r="I24" s="20"/>
      <c r="J24" s="3"/>
      <c r="K24" s="3"/>
    </row>
    <row r="25" spans="1:11">
      <c r="A25" s="93">
        <v>75</v>
      </c>
      <c r="B25" s="20"/>
      <c r="C25" s="20"/>
      <c r="D25" s="3"/>
      <c r="E25" s="3"/>
      <c r="F25" s="3"/>
      <c r="G25" s="3"/>
      <c r="H25" s="20"/>
      <c r="I25" s="20"/>
      <c r="J25" s="3"/>
      <c r="K25" s="3"/>
    </row>
    <row r="26" spans="1:11">
      <c r="A26" s="294">
        <f>A25/E35</f>
        <v>2.9527559055118111</v>
      </c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>
      <c r="B27" s="3"/>
      <c r="C27" s="3"/>
      <c r="D27" s="3"/>
      <c r="E27" s="3"/>
      <c r="F27" s="3"/>
      <c r="G27" s="3"/>
      <c r="H27" s="3"/>
      <c r="I27" s="3"/>
      <c r="J27" s="3"/>
    </row>
    <row r="28" spans="1:11" ht="38" customHeight="1" thickBot="1">
      <c r="A28" s="3"/>
      <c r="B28" s="3"/>
      <c r="C28" s="3"/>
      <c r="D28" s="3"/>
      <c r="E28" s="100">
        <f>+E34</f>
        <v>4386</v>
      </c>
      <c r="F28" s="90">
        <f>+E28/$E$35</f>
        <v>172.67716535433073</v>
      </c>
      <c r="G28" s="3"/>
      <c r="H28" s="3"/>
      <c r="I28" s="3"/>
      <c r="J28" s="3"/>
    </row>
    <row r="29" spans="1:11">
      <c r="A29" s="9"/>
      <c r="B29" s="10" t="s">
        <v>5</v>
      </c>
      <c r="C29" s="11" t="s">
        <v>6</v>
      </c>
      <c r="D29" s="12" t="s">
        <v>7</v>
      </c>
      <c r="E29" s="328" t="s">
        <v>141</v>
      </c>
      <c r="F29" s="329"/>
      <c r="G29" s="12" t="s">
        <v>8</v>
      </c>
      <c r="H29" s="330">
        <f ca="1">NOW()</f>
        <v>43377.415750578701</v>
      </c>
      <c r="I29" s="330"/>
      <c r="J29" s="330"/>
      <c r="K29" s="331"/>
    </row>
    <row r="30" spans="1:11">
      <c r="A30" s="136" t="s">
        <v>9</v>
      </c>
      <c r="B30" s="101">
        <f t="shared" ref="B30:B35" si="0">+C30/$E$35</f>
        <v>160</v>
      </c>
      <c r="C30" s="86">
        <v>4064</v>
      </c>
      <c r="D30" s="137" t="s">
        <v>10</v>
      </c>
      <c r="E30" s="332">
        <v>2.35</v>
      </c>
      <c r="F30" s="333"/>
      <c r="G30" s="16" t="s">
        <v>11</v>
      </c>
      <c r="H30" s="334"/>
      <c r="I30" s="334"/>
      <c r="J30" s="334"/>
      <c r="K30" s="335"/>
    </row>
    <row r="31" spans="1:11">
      <c r="A31" s="13" t="s">
        <v>12</v>
      </c>
      <c r="B31" s="101">
        <f t="shared" si="0"/>
        <v>68.085106382978722</v>
      </c>
      <c r="C31" s="17">
        <f>+C30/E30</f>
        <v>1729.3617021276596</v>
      </c>
      <c r="D31" s="16" t="s">
        <v>70</v>
      </c>
      <c r="E31" s="17">
        <f>C30+564</f>
        <v>4628</v>
      </c>
      <c r="F31" s="17">
        <v>140</v>
      </c>
      <c r="G31" s="16" t="s">
        <v>15</v>
      </c>
      <c r="H31" s="323"/>
      <c r="I31" s="324"/>
      <c r="J31" s="324"/>
      <c r="K31" s="325"/>
    </row>
    <row r="32" spans="1:11">
      <c r="A32" s="13" t="s">
        <v>16</v>
      </c>
      <c r="B32" s="101">
        <f t="shared" si="0"/>
        <v>182.20472440944883</v>
      </c>
      <c r="C32" s="18">
        <f>E31</f>
        <v>4628</v>
      </c>
      <c r="D32" s="16" t="s">
        <v>71</v>
      </c>
      <c r="E32" s="17">
        <v>500</v>
      </c>
      <c r="F32" s="102" t="s">
        <v>83</v>
      </c>
      <c r="G32" s="103"/>
      <c r="H32" s="289"/>
      <c r="I32" s="3"/>
      <c r="J32" s="3"/>
      <c r="K32" s="21"/>
    </row>
    <row r="33" spans="1:11">
      <c r="A33" s="13" t="s">
        <v>19</v>
      </c>
      <c r="B33" s="101">
        <f t="shared" si="0"/>
        <v>96.037862288490544</v>
      </c>
      <c r="C33" s="18">
        <f>+C31+J6+A8+70</f>
        <v>2439.3617021276596</v>
      </c>
      <c r="D33" s="22" t="s">
        <v>20</v>
      </c>
      <c r="E33" s="104" t="s">
        <v>72</v>
      </c>
      <c r="F33" s="358" t="s">
        <v>142</v>
      </c>
      <c r="G33" s="359"/>
      <c r="H33" s="359"/>
      <c r="I33" s="25"/>
      <c r="J33" s="25"/>
      <c r="K33" s="26"/>
    </row>
    <row r="34" spans="1:11">
      <c r="A34" s="13" t="s">
        <v>21</v>
      </c>
      <c r="B34" s="101">
        <f t="shared" si="0"/>
        <v>173.8838167029397</v>
      </c>
      <c r="C34" s="18">
        <f>SQRT((C30^2)+(C31^2))</f>
        <v>4416.6489442546681</v>
      </c>
      <c r="D34" s="22" t="s">
        <v>73</v>
      </c>
      <c r="E34" s="52">
        <f>322+C30</f>
        <v>4386</v>
      </c>
      <c r="F34" s="24" t="s">
        <v>145</v>
      </c>
      <c r="G34" s="25"/>
      <c r="H34" s="25"/>
      <c r="I34" s="25"/>
      <c r="J34" s="25"/>
      <c r="K34" s="26"/>
    </row>
    <row r="35" spans="1:11" ht="17" thickBot="1">
      <c r="A35" s="28" t="s">
        <v>23</v>
      </c>
      <c r="B35" s="105">
        <f t="shared" si="0"/>
        <v>5.8267716535433074</v>
      </c>
      <c r="C35" s="74">
        <v>148</v>
      </c>
      <c r="D35" s="31" t="s">
        <v>24</v>
      </c>
      <c r="E35" s="63">
        <v>25.4</v>
      </c>
      <c r="F35" s="33"/>
      <c r="G35" s="33"/>
      <c r="H35" s="33"/>
      <c r="I35" s="33"/>
      <c r="J35" s="33"/>
      <c r="K35" s="72" t="s">
        <v>59</v>
      </c>
    </row>
    <row r="37" spans="1:11" ht="16" customHeight="1">
      <c r="B37" s="112" t="s">
        <v>26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ht="7" customHeight="1">
      <c r="B38" s="113"/>
      <c r="C38" s="3"/>
      <c r="D38" s="25"/>
      <c r="E38" s="25"/>
      <c r="F38" s="3"/>
    </row>
    <row r="39" spans="1:11" ht="16" customHeight="1">
      <c r="B39" s="108"/>
      <c r="C39" s="121" t="s">
        <v>27</v>
      </c>
      <c r="D39" s="121" t="s">
        <v>5</v>
      </c>
      <c r="E39" s="121" t="s">
        <v>6</v>
      </c>
    </row>
    <row r="40" spans="1:11" ht="16" customHeight="1">
      <c r="B40" s="108" t="s">
        <v>28</v>
      </c>
      <c r="C40" s="111" t="s">
        <v>29</v>
      </c>
      <c r="D40" s="110">
        <v>140</v>
      </c>
      <c r="E40" s="110">
        <f>D40*25.4</f>
        <v>3556</v>
      </c>
      <c r="F40" s="3"/>
    </row>
    <row r="41" spans="1:11" ht="16" customHeight="1">
      <c r="B41" s="108" t="s">
        <v>30</v>
      </c>
      <c r="C41" s="111" t="s">
        <v>31</v>
      </c>
      <c r="D41" s="110">
        <v>160</v>
      </c>
      <c r="E41" s="110">
        <f>D41*25.4</f>
        <v>4064</v>
      </c>
      <c r="G41" s="3" t="s">
        <v>32</v>
      </c>
    </row>
    <row r="43" spans="1:11">
      <c r="B43" s="107" t="s">
        <v>33</v>
      </c>
      <c r="C43" s="115"/>
      <c r="D43" s="115"/>
      <c r="E43" s="115"/>
      <c r="F43" s="115"/>
      <c r="G43" s="115"/>
      <c r="H43" s="115"/>
      <c r="I43" s="115"/>
      <c r="J43" s="115"/>
      <c r="K43" s="115"/>
    </row>
    <row r="44" spans="1:11">
      <c r="B44" s="35" t="s">
        <v>146</v>
      </c>
      <c r="C44" s="35"/>
      <c r="D44" s="35"/>
      <c r="E44" s="35"/>
      <c r="F44" s="35"/>
      <c r="G44" s="35"/>
      <c r="H44" s="35"/>
    </row>
    <row r="45" spans="1:11">
      <c r="B45" s="35" t="s">
        <v>153</v>
      </c>
      <c r="C45" s="35"/>
      <c r="D45" s="35"/>
      <c r="E45" s="35"/>
      <c r="F45" s="35"/>
      <c r="G45" s="35"/>
      <c r="H45" s="35"/>
    </row>
    <row r="46" spans="1:11">
      <c r="B46" s="35"/>
      <c r="C46" s="35"/>
      <c r="D46" s="35"/>
      <c r="E46" s="35"/>
      <c r="F46" s="35"/>
      <c r="G46" s="35"/>
      <c r="H46" s="35"/>
    </row>
    <row r="47" spans="1:11">
      <c r="B47" s="107" t="s">
        <v>38</v>
      </c>
      <c r="C47" s="115"/>
      <c r="D47" s="115"/>
      <c r="E47" s="115"/>
      <c r="F47" s="115"/>
      <c r="G47" s="115"/>
      <c r="H47" s="115"/>
      <c r="I47" s="115"/>
      <c r="J47" s="115"/>
      <c r="K47" s="115"/>
    </row>
    <row r="48" spans="1:11">
      <c r="B48" s="1" t="s">
        <v>85</v>
      </c>
    </row>
    <row r="50" spans="2:3">
      <c r="B50" s="1" t="s">
        <v>78</v>
      </c>
    </row>
    <row r="51" spans="2:3">
      <c r="B51" s="65">
        <f>+E31+100</f>
        <v>4728</v>
      </c>
      <c r="C51" s="1" t="s">
        <v>41</v>
      </c>
    </row>
    <row r="52" spans="2:3">
      <c r="B52" s="36">
        <v>350</v>
      </c>
      <c r="C52" s="1" t="s">
        <v>42</v>
      </c>
    </row>
    <row r="53" spans="2:3">
      <c r="B53" s="36">
        <v>250</v>
      </c>
      <c r="C53" s="1" t="s">
        <v>23</v>
      </c>
    </row>
    <row r="54" spans="2:3">
      <c r="B54" s="37"/>
    </row>
  </sheetData>
  <mergeCells count="8">
    <mergeCell ref="H31:K31"/>
    <mergeCell ref="F33:H33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8" fitToHeight="0" orientation="portrait" horizontalDpi="4294967292" verticalDpi="4294967292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L53"/>
  <sheetViews>
    <sheetView showGridLines="0" workbookViewId="0">
      <selection activeCell="C31" sqref="C31"/>
    </sheetView>
  </sheetViews>
  <sheetFormatPr baseColWidth="10" defaultColWidth="10.83203125" defaultRowHeight="16"/>
  <cols>
    <col min="1" max="1" width="10" style="1" customWidth="1"/>
    <col min="2" max="3" width="10.83203125" style="1"/>
    <col min="4" max="4" width="14.6640625" style="1" bestFit="1" customWidth="1"/>
    <col min="5" max="16384" width="10.83203125" style="1"/>
  </cols>
  <sheetData>
    <row r="1" spans="1:12" ht="25">
      <c r="A1" s="326" t="s">
        <v>82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2" s="88" customFormat="1" ht="20">
      <c r="A2" s="327" t="str">
        <f>+ROUND(B30,1)&amp;""""&amp;" "&amp;E30&amp;" Aspect Ratio"</f>
        <v>100" 1.78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2" s="88" customFormat="1" ht="20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6">
        <f>+C35</f>
        <v>140</v>
      </c>
    </row>
    <row r="4" spans="1:12" s="2" customFormat="1" ht="16" customHeight="1">
      <c r="A4" s="180"/>
      <c r="B4" s="180"/>
      <c r="C4" s="180"/>
      <c r="D4" s="180"/>
      <c r="E4" s="77">
        <f>E31</f>
        <v>2890</v>
      </c>
      <c r="F4" s="89">
        <f>+E4/$E$35</f>
        <v>113.77952755905513</v>
      </c>
      <c r="G4" s="180"/>
      <c r="H4" s="180"/>
      <c r="I4" s="180"/>
      <c r="J4" s="180"/>
      <c r="K4" s="90">
        <f>+K3/$E$35</f>
        <v>5.5118110236220472</v>
      </c>
    </row>
    <row r="5" spans="1:12">
      <c r="B5" s="3"/>
      <c r="C5" s="3"/>
      <c r="D5" s="3"/>
      <c r="E5" s="3"/>
      <c r="F5" s="3"/>
      <c r="G5" s="3"/>
      <c r="H5" s="3"/>
      <c r="I5" s="3"/>
      <c r="J5" s="3"/>
    </row>
    <row r="6" spans="1:12">
      <c r="B6" s="20"/>
      <c r="C6" s="20"/>
      <c r="D6" s="3"/>
      <c r="E6" s="3"/>
      <c r="F6" s="3"/>
      <c r="G6" s="3"/>
      <c r="H6" s="20"/>
      <c r="I6" s="20"/>
      <c r="J6" s="91">
        <f>+F31</f>
        <v>147</v>
      </c>
      <c r="K6" s="3"/>
    </row>
    <row r="7" spans="1:12">
      <c r="B7" s="75"/>
      <c r="C7" s="75"/>
      <c r="D7" s="75"/>
      <c r="E7" s="75"/>
      <c r="F7" s="75"/>
      <c r="G7" s="75"/>
      <c r="H7" s="75"/>
      <c r="I7" s="75"/>
      <c r="J7" s="92">
        <f>+J6/E35</f>
        <v>5.78740157480315</v>
      </c>
      <c r="K7" s="3"/>
    </row>
    <row r="8" spans="1:12">
      <c r="A8" s="93">
        <f>+E32</f>
        <v>210</v>
      </c>
      <c r="B8" s="75"/>
      <c r="C8" s="75"/>
      <c r="D8" s="75"/>
      <c r="E8" s="75"/>
      <c r="F8" s="75"/>
      <c r="G8" s="75"/>
      <c r="H8" s="75"/>
      <c r="I8" s="75"/>
      <c r="K8" s="3"/>
    </row>
    <row r="9" spans="1:12">
      <c r="A9" s="94">
        <f>+A8/E35</f>
        <v>8.2677165354330722</v>
      </c>
      <c r="B9" s="20"/>
      <c r="C9" s="20"/>
      <c r="D9" s="3"/>
      <c r="E9" s="3"/>
      <c r="F9" s="3"/>
      <c r="G9" s="3"/>
      <c r="H9" s="20"/>
      <c r="I9" s="20"/>
      <c r="K9" s="3"/>
    </row>
    <row r="10" spans="1:12">
      <c r="B10" s="20"/>
      <c r="C10" s="20"/>
      <c r="D10" s="3"/>
      <c r="E10" s="3"/>
      <c r="F10" s="3"/>
      <c r="G10" s="3"/>
      <c r="H10" s="20"/>
      <c r="I10" s="20"/>
      <c r="J10" s="3"/>
      <c r="K10" s="3"/>
    </row>
    <row r="11" spans="1:12">
      <c r="B11" s="20"/>
      <c r="C11" s="20"/>
      <c r="E11" s="186">
        <f>+C30</f>
        <v>2540</v>
      </c>
      <c r="F11" s="3"/>
      <c r="G11" s="3"/>
      <c r="H11" s="20"/>
      <c r="I11" s="20"/>
      <c r="J11" s="3"/>
      <c r="K11" s="3"/>
    </row>
    <row r="12" spans="1:12">
      <c r="A12" s="3"/>
      <c r="B12" s="20"/>
      <c r="C12" s="20"/>
      <c r="D12" s="3"/>
      <c r="E12" s="95">
        <f>+E11/$E$35</f>
        <v>100</v>
      </c>
      <c r="F12" s="3"/>
      <c r="G12" s="3"/>
      <c r="H12" s="20"/>
      <c r="I12" s="20"/>
      <c r="J12" s="3"/>
      <c r="K12" s="3"/>
    </row>
    <row r="13" spans="1:12">
      <c r="A13" s="3"/>
      <c r="B13" s="20"/>
      <c r="C13" s="20"/>
      <c r="E13" s="3"/>
      <c r="G13" s="3"/>
      <c r="H13" s="20"/>
      <c r="I13" s="20"/>
      <c r="K13" s="3"/>
    </row>
    <row r="14" spans="1:12">
      <c r="A14" s="3"/>
      <c r="B14" s="20"/>
      <c r="C14" s="20"/>
      <c r="E14" s="3"/>
      <c r="F14" s="5"/>
      <c r="G14" s="3"/>
      <c r="H14" s="20"/>
      <c r="I14" s="20"/>
      <c r="J14" s="3"/>
      <c r="K14" s="3"/>
    </row>
    <row r="15" spans="1:12">
      <c r="A15" s="3"/>
      <c r="B15" s="20"/>
      <c r="C15" s="20"/>
      <c r="D15" s="186">
        <f>+C31</f>
        <v>1426.9662921348315</v>
      </c>
      <c r="E15" s="3"/>
      <c r="F15" s="3"/>
      <c r="G15" s="3"/>
      <c r="H15" s="20"/>
      <c r="I15" s="20"/>
      <c r="J15" s="6">
        <f>+C33</f>
        <v>1853.9662921348315</v>
      </c>
      <c r="K15" s="3"/>
      <c r="L15" s="96">
        <f>D15+A8+A25</f>
        <v>1706.9662921348315</v>
      </c>
    </row>
    <row r="16" spans="1:12">
      <c r="A16" s="3"/>
      <c r="B16" s="20"/>
      <c r="C16" s="20"/>
      <c r="D16" s="89">
        <f>+D15/$E$35</f>
        <v>56.17977528089888</v>
      </c>
      <c r="E16" s="3"/>
      <c r="G16" s="3"/>
      <c r="H16" s="20"/>
      <c r="I16" s="20"/>
      <c r="J16" s="95">
        <f>+J15/$E$35</f>
        <v>72.990798902946125</v>
      </c>
      <c r="K16" s="3"/>
      <c r="L16" s="97">
        <f>+L15/$E$35</f>
        <v>67.203397328142984</v>
      </c>
    </row>
    <row r="17" spans="1:11">
      <c r="A17" s="3"/>
      <c r="B17" s="20"/>
      <c r="C17" s="20"/>
      <c r="D17" s="3"/>
      <c r="E17" s="3"/>
      <c r="H17" s="20"/>
      <c r="I17" s="20"/>
      <c r="J17" s="3"/>
      <c r="K17" s="3"/>
    </row>
    <row r="18" spans="1:11">
      <c r="A18" s="3"/>
      <c r="B18" s="20"/>
      <c r="C18" s="20"/>
      <c r="D18" s="3"/>
      <c r="E18" s="3"/>
      <c r="F18" s="186">
        <f>+C34</f>
        <v>2913.3885423830839</v>
      </c>
      <c r="H18" s="20"/>
      <c r="I18" s="20"/>
      <c r="J18" s="3"/>
      <c r="K18" s="3"/>
    </row>
    <row r="19" spans="1:11">
      <c r="A19" s="3"/>
      <c r="B19" s="20"/>
      <c r="C19" s="20"/>
      <c r="D19" s="3"/>
      <c r="E19" s="3"/>
      <c r="F19" s="89">
        <f>+F18/$E$35</f>
        <v>114.70033631429465</v>
      </c>
      <c r="G19" s="3"/>
      <c r="H19" s="20"/>
      <c r="I19" s="20"/>
      <c r="J19" s="3"/>
      <c r="K19" s="3"/>
    </row>
    <row r="20" spans="1:11">
      <c r="A20" s="3"/>
      <c r="B20" s="20"/>
      <c r="C20" s="20"/>
      <c r="D20" s="3"/>
      <c r="E20" s="3"/>
      <c r="F20" s="3"/>
      <c r="G20" s="3"/>
      <c r="H20" s="20"/>
      <c r="I20" s="20"/>
      <c r="J20" s="3"/>
      <c r="K20" s="3"/>
    </row>
    <row r="21" spans="1:11">
      <c r="A21" s="3"/>
      <c r="B21" s="20"/>
      <c r="C21" s="20"/>
      <c r="D21" s="3"/>
      <c r="E21" s="3"/>
      <c r="F21" s="3"/>
      <c r="G21" s="3"/>
      <c r="H21" s="20"/>
      <c r="I21" s="20"/>
      <c r="J21" s="3"/>
      <c r="K21" s="3"/>
    </row>
    <row r="22" spans="1:11">
      <c r="A22" s="3"/>
      <c r="B22" s="20"/>
      <c r="C22" s="20"/>
      <c r="D22" s="3"/>
      <c r="E22" s="3"/>
      <c r="F22" s="3"/>
      <c r="G22" s="3"/>
      <c r="H22" s="20"/>
      <c r="I22" s="20"/>
      <c r="J22" s="3"/>
      <c r="K22" s="3"/>
    </row>
    <row r="23" spans="1:11">
      <c r="A23" s="3"/>
      <c r="B23" s="20"/>
      <c r="C23" s="20"/>
      <c r="D23" s="3"/>
      <c r="E23" s="7"/>
      <c r="F23" s="3"/>
      <c r="G23" s="3"/>
      <c r="H23" s="20"/>
      <c r="I23" s="20"/>
      <c r="J23" s="3"/>
      <c r="K23" s="3"/>
    </row>
    <row r="24" spans="1:11">
      <c r="A24" s="3"/>
      <c r="B24" s="20"/>
      <c r="C24" s="20"/>
      <c r="D24" s="3"/>
      <c r="E24" s="8"/>
      <c r="F24" s="3"/>
      <c r="G24" s="3"/>
      <c r="H24" s="20"/>
      <c r="I24" s="20"/>
      <c r="J24" s="3"/>
      <c r="K24" s="3"/>
    </row>
    <row r="25" spans="1:11">
      <c r="A25" s="98">
        <v>70</v>
      </c>
      <c r="B25" s="20"/>
      <c r="C25" s="20"/>
      <c r="D25" s="3"/>
      <c r="E25" s="3"/>
      <c r="F25" s="3"/>
      <c r="G25" s="3"/>
      <c r="H25" s="20"/>
      <c r="I25" s="20"/>
      <c r="J25" s="3"/>
      <c r="K25" s="3"/>
    </row>
    <row r="26" spans="1:11">
      <c r="A26" s="99">
        <f>A25/E35</f>
        <v>2.7559055118110236</v>
      </c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>
      <c r="B27" s="3"/>
      <c r="C27" s="3"/>
      <c r="D27" s="3"/>
      <c r="E27" s="3"/>
      <c r="F27" s="3"/>
      <c r="G27" s="3"/>
      <c r="H27" s="3"/>
      <c r="I27" s="3"/>
      <c r="J27" s="3"/>
    </row>
    <row r="28" spans="1:11" ht="38" customHeight="1" thickBot="1">
      <c r="A28" s="3"/>
      <c r="B28" s="3"/>
      <c r="C28" s="3"/>
      <c r="D28" s="3"/>
      <c r="E28" s="100">
        <f>+E34</f>
        <v>2842</v>
      </c>
      <c r="F28" s="90">
        <f>+E28/$E$35</f>
        <v>111.88976377952757</v>
      </c>
      <c r="G28" s="3"/>
      <c r="H28" s="3"/>
      <c r="I28" s="3"/>
      <c r="J28" s="3"/>
    </row>
    <row r="29" spans="1:11">
      <c r="A29" s="9"/>
      <c r="B29" s="10" t="s">
        <v>5</v>
      </c>
      <c r="C29" s="11" t="s">
        <v>6</v>
      </c>
      <c r="D29" s="12" t="s">
        <v>7</v>
      </c>
      <c r="E29" s="328" t="s">
        <v>141</v>
      </c>
      <c r="F29" s="329"/>
      <c r="G29" s="12" t="s">
        <v>8</v>
      </c>
      <c r="H29" s="330">
        <f ca="1">NOW()</f>
        <v>43377.415750578701</v>
      </c>
      <c r="I29" s="330"/>
      <c r="J29" s="330"/>
      <c r="K29" s="331"/>
    </row>
    <row r="30" spans="1:11">
      <c r="A30" s="136" t="s">
        <v>9</v>
      </c>
      <c r="B30" s="101">
        <f t="shared" ref="B30:B35" si="0">+C30/$E$35</f>
        <v>100</v>
      </c>
      <c r="C30" s="86">
        <v>2540</v>
      </c>
      <c r="D30" s="137" t="s">
        <v>10</v>
      </c>
      <c r="E30" s="332">
        <v>1.78</v>
      </c>
      <c r="F30" s="333"/>
      <c r="G30" s="16" t="s">
        <v>11</v>
      </c>
      <c r="H30" s="334"/>
      <c r="I30" s="334"/>
      <c r="J30" s="334"/>
      <c r="K30" s="335"/>
    </row>
    <row r="31" spans="1:11">
      <c r="A31" s="13" t="s">
        <v>12</v>
      </c>
      <c r="B31" s="101">
        <f t="shared" si="0"/>
        <v>56.17977528089888</v>
      </c>
      <c r="C31" s="17">
        <f>+C30/E30</f>
        <v>1426.9662921348315</v>
      </c>
      <c r="D31" s="16" t="s">
        <v>70</v>
      </c>
      <c r="E31" s="17">
        <f>C30+350</f>
        <v>2890</v>
      </c>
      <c r="F31" s="17">
        <v>147</v>
      </c>
      <c r="G31" s="16" t="s">
        <v>15</v>
      </c>
      <c r="H31" s="323"/>
      <c r="I31" s="324"/>
      <c r="J31" s="324"/>
      <c r="K31" s="325"/>
    </row>
    <row r="32" spans="1:11">
      <c r="A32" s="13" t="s">
        <v>16</v>
      </c>
      <c r="B32" s="101">
        <f t="shared" si="0"/>
        <v>113.77952755905513</v>
      </c>
      <c r="C32" s="18">
        <f>E31</f>
        <v>2890</v>
      </c>
      <c r="D32" s="16" t="s">
        <v>71</v>
      </c>
      <c r="E32" s="17">
        <v>210</v>
      </c>
      <c r="F32" s="102" t="s">
        <v>150</v>
      </c>
      <c r="G32" s="103"/>
      <c r="H32" s="183"/>
      <c r="I32" s="3"/>
      <c r="J32" s="3"/>
      <c r="K32" s="21"/>
    </row>
    <row r="33" spans="1:11">
      <c r="A33" s="13" t="s">
        <v>19</v>
      </c>
      <c r="B33" s="101">
        <f t="shared" si="0"/>
        <v>72.990798902946125</v>
      </c>
      <c r="C33" s="18">
        <f>+C31+J6+A8+70</f>
        <v>1853.9662921348315</v>
      </c>
      <c r="D33" s="22" t="s">
        <v>20</v>
      </c>
      <c r="E33" s="104" t="s">
        <v>72</v>
      </c>
      <c r="F33" s="358" t="s">
        <v>125</v>
      </c>
      <c r="G33" s="359"/>
      <c r="H33" s="359"/>
      <c r="I33" s="25"/>
      <c r="J33" s="25"/>
      <c r="K33" s="26"/>
    </row>
    <row r="34" spans="1:11">
      <c r="A34" s="13" t="s">
        <v>21</v>
      </c>
      <c r="B34" s="101">
        <f t="shared" si="0"/>
        <v>114.70033631429465</v>
      </c>
      <c r="C34" s="18">
        <f>SQRT((C30^2)+(C31^2))</f>
        <v>2913.3885423830839</v>
      </c>
      <c r="D34" s="22" t="s">
        <v>73</v>
      </c>
      <c r="E34" s="52">
        <f>302+C30</f>
        <v>2842</v>
      </c>
      <c r="F34" s="24"/>
      <c r="G34" s="25"/>
      <c r="H34" s="25"/>
      <c r="I34" s="25"/>
      <c r="J34" s="25"/>
      <c r="K34" s="26"/>
    </row>
    <row r="35" spans="1:11" ht="17" thickBot="1">
      <c r="A35" s="28" t="s">
        <v>23</v>
      </c>
      <c r="B35" s="105">
        <f t="shared" si="0"/>
        <v>5.5118110236220472</v>
      </c>
      <c r="C35" s="74">
        <v>140</v>
      </c>
      <c r="D35" s="31" t="s">
        <v>24</v>
      </c>
      <c r="E35" s="63">
        <v>25.4</v>
      </c>
      <c r="F35" s="33"/>
      <c r="G35" s="33"/>
      <c r="H35" s="33"/>
      <c r="I35" s="33"/>
      <c r="J35" s="33"/>
      <c r="K35" s="72" t="s">
        <v>59</v>
      </c>
    </row>
    <row r="37" spans="1:11" ht="16" customHeight="1">
      <c r="B37" s="112" t="s">
        <v>26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ht="7" customHeight="1">
      <c r="B38" s="113"/>
      <c r="C38" s="3"/>
      <c r="D38" s="25"/>
      <c r="E38" s="25"/>
      <c r="F38" s="3"/>
    </row>
    <row r="39" spans="1:11" ht="16" customHeight="1">
      <c r="B39" s="108"/>
      <c r="C39" s="121" t="s">
        <v>27</v>
      </c>
      <c r="D39" s="121" t="s">
        <v>5</v>
      </c>
      <c r="E39" s="121" t="s">
        <v>6</v>
      </c>
    </row>
    <row r="40" spans="1:11" ht="16" customHeight="1">
      <c r="B40" s="108" t="s">
        <v>28</v>
      </c>
      <c r="C40" s="111" t="s">
        <v>29</v>
      </c>
      <c r="D40" s="110">
        <v>120</v>
      </c>
      <c r="E40" s="110">
        <f>D40*25.4</f>
        <v>3048</v>
      </c>
      <c r="F40" s="3"/>
    </row>
    <row r="41" spans="1:11" ht="16" customHeight="1">
      <c r="B41" s="108" t="s">
        <v>30</v>
      </c>
      <c r="C41" s="111" t="s">
        <v>31</v>
      </c>
      <c r="D41" s="110">
        <v>140</v>
      </c>
      <c r="E41" s="110">
        <f>D41*25.4</f>
        <v>3556</v>
      </c>
      <c r="G41" s="3" t="s">
        <v>32</v>
      </c>
    </row>
    <row r="43" spans="1:11">
      <c r="B43" s="107" t="s">
        <v>33</v>
      </c>
      <c r="C43" s="115"/>
      <c r="D43" s="115"/>
      <c r="E43" s="115"/>
      <c r="F43" s="115"/>
      <c r="G43" s="115"/>
      <c r="H43" s="115"/>
      <c r="I43" s="115"/>
      <c r="J43" s="115"/>
      <c r="K43" s="115"/>
    </row>
    <row r="44" spans="1:11">
      <c r="B44" s="35" t="s">
        <v>84</v>
      </c>
      <c r="C44" s="35"/>
      <c r="D44" s="35"/>
      <c r="E44" s="35"/>
      <c r="F44" s="35"/>
      <c r="G44" s="35"/>
      <c r="H44" s="35"/>
    </row>
    <row r="45" spans="1:11">
      <c r="B45" s="35"/>
      <c r="C45" s="35"/>
      <c r="D45" s="35"/>
      <c r="E45" s="35"/>
      <c r="F45" s="35"/>
      <c r="G45" s="35"/>
      <c r="H45" s="35"/>
    </row>
    <row r="46" spans="1:11">
      <c r="B46" s="107" t="s">
        <v>38</v>
      </c>
      <c r="C46" s="115"/>
      <c r="D46" s="115"/>
      <c r="E46" s="115"/>
      <c r="F46" s="115"/>
      <c r="G46" s="115"/>
      <c r="H46" s="115"/>
      <c r="I46" s="115"/>
      <c r="J46" s="115"/>
      <c r="K46" s="115"/>
    </row>
    <row r="47" spans="1:11">
      <c r="B47" s="1" t="s">
        <v>85</v>
      </c>
    </row>
    <row r="49" spans="2:3">
      <c r="B49" s="1" t="s">
        <v>78</v>
      </c>
    </row>
    <row r="50" spans="2:3">
      <c r="B50" s="65">
        <f>+E31+100</f>
        <v>2990</v>
      </c>
      <c r="C50" s="1" t="s">
        <v>41</v>
      </c>
    </row>
    <row r="51" spans="2:3">
      <c r="B51" s="36">
        <v>350</v>
      </c>
      <c r="C51" s="1" t="s">
        <v>42</v>
      </c>
    </row>
    <row r="52" spans="2:3">
      <c r="B52" s="36">
        <v>250</v>
      </c>
      <c r="C52" s="1" t="s">
        <v>23</v>
      </c>
    </row>
    <row r="53" spans="2:3">
      <c r="B53" s="37"/>
    </row>
  </sheetData>
  <mergeCells count="8">
    <mergeCell ref="H31:K31"/>
    <mergeCell ref="F33:H33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L52"/>
  <sheetViews>
    <sheetView showGridLines="0" workbookViewId="0">
      <selection activeCell="F40" sqref="F40"/>
    </sheetView>
  </sheetViews>
  <sheetFormatPr baseColWidth="10" defaultColWidth="10.83203125" defaultRowHeight="16"/>
  <cols>
    <col min="1" max="1" width="10" style="1" customWidth="1"/>
    <col min="2" max="3" width="10.83203125" style="1"/>
    <col min="4" max="4" width="14.6640625" style="1" bestFit="1" customWidth="1"/>
    <col min="5" max="16384" width="10.83203125" style="1"/>
  </cols>
  <sheetData>
    <row r="1" spans="1:12" ht="25">
      <c r="A1" s="326" t="s">
        <v>130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2" s="88" customFormat="1" ht="20">
      <c r="A2" s="327" t="str">
        <f>+ROUND(B30,1)&amp;""""&amp;" "&amp;E30&amp;" Aspect Ratio"</f>
        <v>100" 1.78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2" s="88" customFormat="1" ht="20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9">
        <f>+C35</f>
        <v>252</v>
      </c>
    </row>
    <row r="4" spans="1:12" s="2" customFormat="1" ht="16" customHeight="1">
      <c r="A4" s="256"/>
      <c r="B4" s="256"/>
      <c r="C4" s="256"/>
      <c r="D4" s="256"/>
      <c r="E4" s="77">
        <f>E31</f>
        <v>2890</v>
      </c>
      <c r="F4" s="89">
        <f>+E4/$E$35</f>
        <v>113.77952755905513</v>
      </c>
      <c r="G4" s="256"/>
      <c r="H4" s="256"/>
      <c r="I4" s="256"/>
      <c r="J4" s="256"/>
      <c r="K4" s="90">
        <f>+K3/$E$35</f>
        <v>9.9212598425196852</v>
      </c>
    </row>
    <row r="5" spans="1:12">
      <c r="B5" s="3"/>
      <c r="C5" s="3"/>
      <c r="D5" s="3"/>
      <c r="E5" s="3"/>
      <c r="F5" s="3"/>
      <c r="G5" s="3"/>
      <c r="H5" s="3"/>
      <c r="I5" s="3"/>
      <c r="J5" s="3"/>
    </row>
    <row r="6" spans="1:12">
      <c r="B6" s="20"/>
      <c r="C6" s="20"/>
      <c r="D6" s="3"/>
      <c r="E6" s="3"/>
      <c r="F6" s="3"/>
      <c r="G6" s="3"/>
      <c r="H6" s="20"/>
      <c r="I6" s="20"/>
      <c r="J6" s="91">
        <f>+F31</f>
        <v>147</v>
      </c>
      <c r="K6" s="3"/>
    </row>
    <row r="7" spans="1:12">
      <c r="B7" s="279"/>
      <c r="C7" s="279"/>
      <c r="D7" s="279"/>
      <c r="E7" s="279"/>
      <c r="F7" s="279"/>
      <c r="G7" s="279"/>
      <c r="H7" s="279"/>
      <c r="I7" s="279"/>
      <c r="J7" s="92">
        <f>+J6/E35</f>
        <v>5.78740157480315</v>
      </c>
      <c r="K7" s="3"/>
    </row>
    <row r="8" spans="1:12">
      <c r="A8" s="93">
        <f>+E32</f>
        <v>210</v>
      </c>
      <c r="B8" s="279"/>
      <c r="C8" s="279"/>
      <c r="D8" s="279"/>
      <c r="E8" s="280"/>
      <c r="F8" s="279"/>
      <c r="G8" s="279"/>
      <c r="H8" s="279"/>
      <c r="I8" s="279"/>
      <c r="K8" s="3"/>
    </row>
    <row r="9" spans="1:12">
      <c r="A9" s="94">
        <f>+A8/E35</f>
        <v>8.2677165354330722</v>
      </c>
      <c r="B9" s="263"/>
      <c r="C9" s="263"/>
      <c r="D9" s="263"/>
      <c r="E9" s="263"/>
      <c r="F9" s="263"/>
      <c r="G9" s="263"/>
      <c r="H9" s="263"/>
      <c r="I9" s="263"/>
      <c r="K9" s="3"/>
    </row>
    <row r="10" spans="1:12">
      <c r="B10" s="263"/>
      <c r="C10" s="263"/>
      <c r="D10" s="263"/>
      <c r="E10" s="263"/>
      <c r="F10" s="263"/>
      <c r="G10" s="263"/>
      <c r="H10" s="263"/>
      <c r="I10" s="263"/>
      <c r="J10" s="3"/>
      <c r="K10" s="3"/>
    </row>
    <row r="11" spans="1:12">
      <c r="B11" s="263"/>
      <c r="C11" s="263"/>
      <c r="D11" s="263"/>
      <c r="E11" s="263"/>
      <c r="F11" s="263"/>
      <c r="G11" s="263"/>
      <c r="H11" s="263"/>
      <c r="I11" s="263"/>
      <c r="J11" s="3"/>
      <c r="K11" s="3"/>
    </row>
    <row r="12" spans="1:12">
      <c r="A12" s="3"/>
      <c r="B12" s="263"/>
      <c r="C12" s="263"/>
      <c r="D12" s="263"/>
      <c r="E12" s="263"/>
      <c r="F12" s="263"/>
      <c r="G12" s="263"/>
      <c r="H12" s="263"/>
      <c r="I12" s="263"/>
      <c r="J12" s="3"/>
      <c r="K12" s="3"/>
    </row>
    <row r="13" spans="1:12">
      <c r="A13" s="3"/>
      <c r="B13" s="20"/>
      <c r="C13" s="20"/>
      <c r="E13" s="3"/>
      <c r="G13" s="3"/>
      <c r="H13" s="20"/>
      <c r="I13" s="20"/>
      <c r="K13" s="3"/>
    </row>
    <row r="14" spans="1:12">
      <c r="A14" s="3"/>
      <c r="B14" s="20"/>
      <c r="C14" s="20"/>
      <c r="E14" s="264"/>
      <c r="F14" s="5"/>
      <c r="G14" s="3"/>
      <c r="H14" s="20"/>
      <c r="I14" s="20"/>
      <c r="J14" s="3"/>
      <c r="K14" s="3"/>
    </row>
    <row r="15" spans="1:12">
      <c r="A15" s="3"/>
      <c r="B15" s="20"/>
      <c r="C15" s="20"/>
      <c r="E15" s="265"/>
      <c r="F15" s="3"/>
      <c r="G15" s="3"/>
      <c r="H15" s="20"/>
      <c r="I15" s="20"/>
      <c r="J15" s="6">
        <f>+C33</f>
        <v>1853.9662921348315</v>
      </c>
      <c r="K15" s="3"/>
      <c r="L15" s="96">
        <f>C18+A8+A25</f>
        <v>1706.9662921348315</v>
      </c>
    </row>
    <row r="16" spans="1:12">
      <c r="A16" s="3"/>
      <c r="B16" s="20"/>
      <c r="C16" s="20"/>
      <c r="E16" s="3"/>
      <c r="G16" s="3"/>
      <c r="H16" s="20"/>
      <c r="I16" s="20"/>
      <c r="J16" s="95">
        <f>+J15/$E$35</f>
        <v>72.990798902946125</v>
      </c>
      <c r="K16" s="3"/>
      <c r="L16" s="97">
        <f>+L15/$E$35</f>
        <v>67.203397328142984</v>
      </c>
    </row>
    <row r="17" spans="1:11">
      <c r="A17" s="3"/>
      <c r="B17" s="20"/>
      <c r="C17" s="20"/>
      <c r="D17" s="3"/>
      <c r="E17" s="3"/>
      <c r="H17" s="20"/>
      <c r="I17" s="20"/>
      <c r="J17" s="3"/>
      <c r="K17" s="3"/>
    </row>
    <row r="18" spans="1:11">
      <c r="A18" s="3"/>
      <c r="B18" s="20"/>
      <c r="C18" s="259">
        <f>+C31</f>
        <v>1426.9662921348315</v>
      </c>
      <c r="D18" s="3"/>
      <c r="E18" s="3"/>
      <c r="F18" s="259">
        <f>+C34</f>
        <v>2913.3885423830839</v>
      </c>
      <c r="H18" s="266">
        <f>C30/2.4</f>
        <v>1058.3333333333335</v>
      </c>
      <c r="I18" s="20"/>
      <c r="J18" s="3"/>
      <c r="K18" s="3"/>
    </row>
    <row r="19" spans="1:11">
      <c r="A19" s="3"/>
      <c r="B19" s="20"/>
      <c r="C19" s="89">
        <f>+C18/$E$35</f>
        <v>56.17977528089888</v>
      </c>
      <c r="D19" s="3"/>
      <c r="E19" s="3"/>
      <c r="F19" s="89">
        <f>+F18/$E$35</f>
        <v>114.70033631429465</v>
      </c>
      <c r="G19" s="3"/>
      <c r="H19" s="265">
        <f>H18/25.4</f>
        <v>41.666666666666679</v>
      </c>
      <c r="I19" s="20"/>
      <c r="J19" s="3"/>
      <c r="K19" s="3"/>
    </row>
    <row r="20" spans="1:11">
      <c r="A20" s="3"/>
      <c r="B20" s="20"/>
      <c r="C20" s="20"/>
      <c r="D20" s="3"/>
      <c r="E20" s="3"/>
      <c r="F20" s="3"/>
      <c r="G20" s="3"/>
      <c r="H20" s="20"/>
      <c r="I20" s="20"/>
      <c r="J20" s="3"/>
      <c r="K20" s="3"/>
    </row>
    <row r="21" spans="1:11">
      <c r="A21" s="3"/>
      <c r="B21" s="20"/>
      <c r="C21" s="20"/>
      <c r="D21" s="3"/>
      <c r="E21" s="3"/>
      <c r="F21" s="3"/>
      <c r="G21" s="3"/>
      <c r="H21" s="20"/>
      <c r="I21" s="20"/>
      <c r="J21" s="3"/>
      <c r="K21" s="3"/>
    </row>
    <row r="22" spans="1:11">
      <c r="A22" s="3"/>
      <c r="B22" s="20"/>
      <c r="C22" s="20"/>
      <c r="D22" s="3"/>
      <c r="E22" s="3"/>
      <c r="F22" s="3"/>
      <c r="G22" s="3"/>
      <c r="H22" s="20"/>
      <c r="I22" s="20"/>
      <c r="J22" s="3"/>
      <c r="K22" s="3"/>
    </row>
    <row r="23" spans="1:11">
      <c r="A23" s="3"/>
      <c r="B23" s="20"/>
      <c r="C23" s="20"/>
      <c r="D23" s="3"/>
      <c r="E23" s="141">
        <f>+C30</f>
        <v>2540</v>
      </c>
      <c r="F23" s="3"/>
      <c r="G23" s="3"/>
      <c r="H23" s="20"/>
      <c r="I23" s="20"/>
      <c r="J23" s="3"/>
      <c r="K23" s="3"/>
    </row>
    <row r="24" spans="1:11">
      <c r="A24" s="3"/>
      <c r="B24" s="20"/>
      <c r="C24" s="20"/>
      <c r="D24" s="3"/>
      <c r="E24" s="153">
        <f>+E23/$E$35</f>
        <v>100</v>
      </c>
      <c r="F24" s="3"/>
      <c r="G24" s="3"/>
      <c r="H24" s="20"/>
      <c r="I24" s="20"/>
      <c r="J24" s="3"/>
      <c r="K24" s="3"/>
    </row>
    <row r="25" spans="1:11">
      <c r="A25" s="98">
        <v>70</v>
      </c>
      <c r="B25" s="20"/>
      <c r="C25" s="20"/>
      <c r="D25" s="3"/>
      <c r="F25" s="3"/>
      <c r="G25" s="3"/>
      <c r="H25" s="20"/>
      <c r="I25" s="20"/>
      <c r="J25" s="3"/>
      <c r="K25" s="3"/>
    </row>
    <row r="26" spans="1:11">
      <c r="A26" s="99">
        <f>A25/E35</f>
        <v>2.7559055118110236</v>
      </c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>
      <c r="B27" s="3"/>
      <c r="C27" s="3"/>
      <c r="D27" s="3"/>
      <c r="E27" s="3"/>
      <c r="F27" s="3"/>
      <c r="G27" s="3"/>
      <c r="H27" s="3"/>
      <c r="I27" s="3"/>
      <c r="J27" s="3"/>
    </row>
    <row r="28" spans="1:11" ht="38" customHeight="1" thickBot="1">
      <c r="A28" s="3"/>
      <c r="B28" s="3"/>
      <c r="C28" s="3"/>
      <c r="D28" s="3"/>
      <c r="E28" s="100">
        <f>+E34</f>
        <v>2842</v>
      </c>
      <c r="F28" s="90">
        <f>+E28/$E$35</f>
        <v>111.88976377952757</v>
      </c>
      <c r="G28" s="3"/>
      <c r="H28" s="3"/>
      <c r="I28" s="3"/>
      <c r="J28" s="3"/>
    </row>
    <row r="29" spans="1:11">
      <c r="A29" s="9"/>
      <c r="B29" s="10" t="s">
        <v>5</v>
      </c>
      <c r="C29" s="267" t="s">
        <v>6</v>
      </c>
      <c r="D29" s="12" t="s">
        <v>7</v>
      </c>
      <c r="E29" s="360" t="s">
        <v>141</v>
      </c>
      <c r="F29" s="361"/>
      <c r="G29" s="12" t="s">
        <v>8</v>
      </c>
      <c r="H29" s="330">
        <f ca="1">NOW()</f>
        <v>43377.415750578701</v>
      </c>
      <c r="I29" s="330"/>
      <c r="J29" s="330"/>
      <c r="K29" s="331"/>
    </row>
    <row r="30" spans="1:11">
      <c r="A30" s="136" t="s">
        <v>9</v>
      </c>
      <c r="B30" s="101">
        <f t="shared" ref="B30:B35" si="0">+C30/$E$35</f>
        <v>100</v>
      </c>
      <c r="C30" s="268">
        <v>2540</v>
      </c>
      <c r="D30" s="16" t="s">
        <v>10</v>
      </c>
      <c r="E30" s="362">
        <v>1.78</v>
      </c>
      <c r="F30" s="363"/>
      <c r="G30" s="16" t="s">
        <v>11</v>
      </c>
      <c r="H30" s="334"/>
      <c r="I30" s="334"/>
      <c r="J30" s="334"/>
      <c r="K30" s="335"/>
    </row>
    <row r="31" spans="1:11">
      <c r="A31" s="13" t="s">
        <v>12</v>
      </c>
      <c r="B31" s="101">
        <f t="shared" si="0"/>
        <v>56.17977528089888</v>
      </c>
      <c r="C31" s="269">
        <f>+C30/E30</f>
        <v>1426.9662921348315</v>
      </c>
      <c r="D31" s="16" t="s">
        <v>70</v>
      </c>
      <c r="E31" s="269">
        <f>C30+350</f>
        <v>2890</v>
      </c>
      <c r="F31" s="269">
        <v>147</v>
      </c>
      <c r="G31" s="16" t="s">
        <v>15</v>
      </c>
      <c r="H31" s="323"/>
      <c r="I31" s="324"/>
      <c r="J31" s="324"/>
      <c r="K31" s="325"/>
    </row>
    <row r="32" spans="1:11">
      <c r="A32" s="13" t="s">
        <v>16</v>
      </c>
      <c r="B32" s="101">
        <f t="shared" si="0"/>
        <v>113.77952755905513</v>
      </c>
      <c r="C32" s="270">
        <f>E31</f>
        <v>2890</v>
      </c>
      <c r="D32" s="16" t="s">
        <v>71</v>
      </c>
      <c r="E32" s="269">
        <v>210</v>
      </c>
      <c r="F32" s="102" t="s">
        <v>131</v>
      </c>
      <c r="G32" s="103"/>
      <c r="H32" s="258"/>
      <c r="I32" s="3"/>
      <c r="J32" s="3"/>
      <c r="K32" s="21"/>
    </row>
    <row r="33" spans="1:11">
      <c r="A33" s="13" t="s">
        <v>19</v>
      </c>
      <c r="B33" s="101">
        <f t="shared" si="0"/>
        <v>72.990798902946125</v>
      </c>
      <c r="C33" s="270">
        <f>+C31+J6+A8+70</f>
        <v>1853.9662921348315</v>
      </c>
      <c r="D33" s="22" t="s">
        <v>20</v>
      </c>
      <c r="E33" s="271" t="s">
        <v>72</v>
      </c>
      <c r="F33" s="272"/>
      <c r="G33" s="25"/>
      <c r="H33" s="25"/>
      <c r="I33" s="25"/>
      <c r="J33" s="25"/>
      <c r="K33" s="26"/>
    </row>
    <row r="34" spans="1:11">
      <c r="A34" s="13" t="s">
        <v>21</v>
      </c>
      <c r="B34" s="101">
        <f t="shared" si="0"/>
        <v>114.70033631429465</v>
      </c>
      <c r="C34" s="270">
        <f>SQRT((C30^2)+(C31^2))</f>
        <v>2913.3885423830839</v>
      </c>
      <c r="D34" s="22" t="s">
        <v>73</v>
      </c>
      <c r="E34" s="273">
        <f>302+C30</f>
        <v>2842</v>
      </c>
      <c r="F34" s="272" t="s">
        <v>133</v>
      </c>
      <c r="G34" s="25"/>
      <c r="H34" s="25"/>
      <c r="I34" s="25"/>
      <c r="J34" s="25"/>
      <c r="K34" s="26"/>
    </row>
    <row r="35" spans="1:11" ht="17" thickBot="1">
      <c r="A35" s="28" t="s">
        <v>23</v>
      </c>
      <c r="B35" s="105">
        <f t="shared" si="0"/>
        <v>9.9212598425196852</v>
      </c>
      <c r="C35" s="274">
        <v>252</v>
      </c>
      <c r="D35" s="31" t="s">
        <v>24</v>
      </c>
      <c r="E35" s="275">
        <v>25.4</v>
      </c>
      <c r="F35" s="33"/>
      <c r="G35" s="33"/>
      <c r="H35" s="33"/>
      <c r="I35" s="33"/>
      <c r="J35" s="33"/>
      <c r="K35" s="72" t="s">
        <v>59</v>
      </c>
    </row>
    <row r="37" spans="1:11" ht="16" customHeight="1">
      <c r="B37" s="112" t="s">
        <v>134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ht="7" customHeight="1">
      <c r="B38" s="113"/>
      <c r="C38" s="3"/>
      <c r="D38" s="25"/>
      <c r="E38" s="25"/>
      <c r="F38" s="3"/>
    </row>
    <row r="39" spans="1:11" ht="16" customHeight="1">
      <c r="B39" s="108"/>
      <c r="C39" s="121" t="s">
        <v>27</v>
      </c>
      <c r="D39" s="121" t="s">
        <v>5</v>
      </c>
      <c r="E39" s="121" t="s">
        <v>6</v>
      </c>
    </row>
    <row r="40" spans="1:11" ht="16" customHeight="1">
      <c r="B40" s="108" t="s">
        <v>28</v>
      </c>
      <c r="C40" s="111" t="s">
        <v>29</v>
      </c>
      <c r="D40" s="110">
        <v>120</v>
      </c>
      <c r="E40" s="110">
        <f>D40*25.4</f>
        <v>3048</v>
      </c>
      <c r="F40" s="3"/>
    </row>
    <row r="42" spans="1:11">
      <c r="B42" s="107" t="s">
        <v>33</v>
      </c>
      <c r="C42" s="115"/>
      <c r="D42" s="115"/>
      <c r="E42" s="115"/>
      <c r="F42" s="115"/>
      <c r="G42" s="115"/>
      <c r="H42" s="115"/>
      <c r="I42" s="115"/>
      <c r="J42" s="115"/>
      <c r="K42" s="115"/>
    </row>
    <row r="43" spans="1:11">
      <c r="B43" s="35" t="s">
        <v>135</v>
      </c>
      <c r="C43" s="35"/>
      <c r="D43" s="35"/>
      <c r="E43" s="35"/>
      <c r="F43" s="35"/>
      <c r="G43" s="35"/>
      <c r="H43" s="35"/>
    </row>
    <row r="44" spans="1:11">
      <c r="B44" s="35"/>
      <c r="C44" s="35"/>
      <c r="D44" s="35"/>
      <c r="E44" s="35"/>
      <c r="F44" s="35"/>
      <c r="G44" s="35"/>
      <c r="H44" s="35"/>
    </row>
    <row r="45" spans="1:11">
      <c r="B45" s="107" t="s">
        <v>38</v>
      </c>
      <c r="C45" s="115"/>
      <c r="D45" s="115"/>
      <c r="E45" s="115"/>
      <c r="F45" s="115"/>
      <c r="G45" s="115"/>
      <c r="H45" s="115"/>
      <c r="I45" s="115"/>
      <c r="J45" s="115"/>
      <c r="K45" s="115"/>
    </row>
    <row r="46" spans="1:11">
      <c r="B46" s="1" t="s">
        <v>136</v>
      </c>
    </row>
    <row r="48" spans="1:11">
      <c r="B48" s="1" t="s">
        <v>78</v>
      </c>
    </row>
    <row r="49" spans="2:3">
      <c r="B49" s="276">
        <f>+E31+100</f>
        <v>2990</v>
      </c>
      <c r="C49" s="1" t="s">
        <v>41</v>
      </c>
    </row>
    <row r="50" spans="2:3">
      <c r="B50" s="277">
        <v>350</v>
      </c>
      <c r="C50" s="1" t="s">
        <v>42</v>
      </c>
    </row>
    <row r="51" spans="2:3">
      <c r="B51" s="277">
        <v>500</v>
      </c>
      <c r="C51" s="1" t="s">
        <v>23</v>
      </c>
    </row>
    <row r="52" spans="2:3">
      <c r="B52" s="278"/>
    </row>
  </sheetData>
  <mergeCells count="7">
    <mergeCell ref="H31:K31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52"/>
  <sheetViews>
    <sheetView showGridLines="0" workbookViewId="0">
      <selection activeCell="A40" sqref="A40:XFD40"/>
    </sheetView>
  </sheetViews>
  <sheetFormatPr baseColWidth="10" defaultColWidth="10.83203125" defaultRowHeight="16"/>
  <cols>
    <col min="1" max="1" width="10" style="1" customWidth="1"/>
    <col min="2" max="3" width="10.83203125" style="1"/>
    <col min="4" max="4" width="14.6640625" style="1" bestFit="1" customWidth="1"/>
    <col min="5" max="10" width="10.83203125" style="1"/>
    <col min="11" max="11" width="10" style="1" customWidth="1"/>
    <col min="12" max="16384" width="10.83203125" style="1"/>
  </cols>
  <sheetData>
    <row r="1" spans="1:12" ht="25">
      <c r="A1" s="326" t="s">
        <v>130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2" s="88" customFormat="1" ht="20">
      <c r="A2" s="327" t="str">
        <f>+ROUND(B30,1)&amp;""""&amp;" "&amp;E30&amp;" Aspect Ratio"</f>
        <v>100" 2.4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2" s="88" customFormat="1" ht="20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83">
        <f>+C35</f>
        <v>252</v>
      </c>
    </row>
    <row r="4" spans="1:12" s="2" customFormat="1" ht="16" customHeight="1">
      <c r="A4" s="260"/>
      <c r="B4" s="260"/>
      <c r="C4" s="260"/>
      <c r="D4" s="260"/>
      <c r="E4" s="77">
        <f>E31</f>
        <v>2890</v>
      </c>
      <c r="F4" s="89">
        <f>+E4/$E$35</f>
        <v>113.77952755905513</v>
      </c>
      <c r="G4" s="260"/>
      <c r="H4" s="260"/>
      <c r="I4" s="260"/>
      <c r="J4" s="260"/>
      <c r="K4" s="282">
        <f>+K3/$E$35</f>
        <v>9.9212598425196852</v>
      </c>
    </row>
    <row r="5" spans="1:12">
      <c r="B5" s="3"/>
      <c r="C5" s="3"/>
      <c r="D5" s="3"/>
      <c r="E5" s="3"/>
      <c r="F5" s="3"/>
      <c r="G5" s="3"/>
      <c r="H5" s="3"/>
      <c r="I5" s="3"/>
      <c r="J5" s="3"/>
    </row>
    <row r="6" spans="1:12">
      <c r="B6" s="20"/>
      <c r="C6" s="20"/>
      <c r="D6" s="3"/>
      <c r="E6" s="3"/>
      <c r="F6" s="3"/>
      <c r="G6" s="3"/>
      <c r="H6" s="20"/>
      <c r="I6" s="20"/>
      <c r="J6" s="91">
        <f>+F31</f>
        <v>147</v>
      </c>
      <c r="K6" s="3"/>
    </row>
    <row r="7" spans="1:12">
      <c r="A7" s="93">
        <f>+E32</f>
        <v>210</v>
      </c>
      <c r="B7" s="263"/>
      <c r="C7" s="279"/>
      <c r="D7" s="279"/>
      <c r="E7" s="279"/>
      <c r="F7" s="279"/>
      <c r="G7" s="279"/>
      <c r="H7" s="279"/>
      <c r="I7" s="263"/>
      <c r="J7" s="92">
        <f>+J6/E35</f>
        <v>5.78740157480315</v>
      </c>
      <c r="K7" s="3"/>
    </row>
    <row r="8" spans="1:12">
      <c r="A8" s="94">
        <f>+A7/E35</f>
        <v>8.2677165354330722</v>
      </c>
      <c r="B8" s="263"/>
      <c r="C8" s="279"/>
      <c r="D8" s="279"/>
      <c r="E8" s="279"/>
      <c r="F8" s="279"/>
      <c r="G8" s="279"/>
      <c r="H8" s="279"/>
      <c r="I8" s="263"/>
      <c r="K8" s="3"/>
    </row>
    <row r="9" spans="1:12">
      <c r="B9" s="263"/>
      <c r="C9" s="20"/>
      <c r="D9" s="20"/>
      <c r="E9" s="20"/>
      <c r="F9" s="20"/>
      <c r="G9" s="20"/>
      <c r="H9" s="20"/>
      <c r="I9" s="263"/>
      <c r="K9" s="3"/>
    </row>
    <row r="10" spans="1:12">
      <c r="B10" s="263"/>
      <c r="C10" s="20"/>
      <c r="D10" s="20"/>
      <c r="E10" s="20"/>
      <c r="F10" s="20"/>
      <c r="G10" s="20"/>
      <c r="H10" s="20"/>
      <c r="I10" s="263"/>
      <c r="J10" s="3"/>
      <c r="K10" s="3"/>
    </row>
    <row r="11" spans="1:12">
      <c r="B11" s="263"/>
      <c r="C11" s="20"/>
      <c r="D11" s="20"/>
      <c r="E11" s="20"/>
      <c r="F11" s="20"/>
      <c r="G11" s="20"/>
      <c r="H11" s="20"/>
      <c r="I11" s="263"/>
      <c r="J11" s="3"/>
      <c r="K11" s="3"/>
    </row>
    <row r="12" spans="1:12">
      <c r="A12" s="3"/>
      <c r="B12" s="263"/>
      <c r="C12" s="20"/>
      <c r="E12" s="264">
        <f>C31*1.78</f>
        <v>1883.8333333333337</v>
      </c>
      <c r="F12" s="20"/>
      <c r="G12" s="20"/>
      <c r="H12" s="20"/>
      <c r="I12" s="263"/>
      <c r="J12" s="3"/>
      <c r="K12" s="3"/>
    </row>
    <row r="13" spans="1:12">
      <c r="A13" s="3"/>
      <c r="B13" s="263"/>
      <c r="C13" s="20"/>
      <c r="E13" s="265">
        <f>E12/25.4</f>
        <v>74.166666666666686</v>
      </c>
      <c r="G13" s="3"/>
      <c r="H13" s="20"/>
      <c r="I13" s="263"/>
      <c r="K13" s="3"/>
    </row>
    <row r="14" spans="1:12">
      <c r="A14" s="3"/>
      <c r="B14" s="263"/>
      <c r="C14" s="20"/>
      <c r="F14" s="5"/>
      <c r="G14" s="3"/>
      <c r="H14" s="20"/>
      <c r="I14" s="263"/>
      <c r="J14" s="3"/>
      <c r="K14" s="3"/>
    </row>
    <row r="15" spans="1:12">
      <c r="A15" s="3"/>
      <c r="B15" s="263"/>
      <c r="D15" s="84">
        <f>+C31</f>
        <v>1058.3333333333335</v>
      </c>
      <c r="F15" s="6">
        <f>+C34</f>
        <v>2751.666666666667</v>
      </c>
      <c r="G15" s="3"/>
      <c r="H15" s="20"/>
      <c r="I15" s="263"/>
      <c r="J15" s="91">
        <f>+C33</f>
        <v>1485.3333333333335</v>
      </c>
      <c r="K15" s="3"/>
      <c r="L15" s="284">
        <f>D15+A7+A22</f>
        <v>1338.3333333333335</v>
      </c>
    </row>
    <row r="16" spans="1:12">
      <c r="A16" s="3"/>
      <c r="B16" s="263"/>
      <c r="D16" s="97">
        <f>+D15/$E$35</f>
        <v>41.666666666666679</v>
      </c>
      <c r="E16" s="3"/>
      <c r="F16" s="281">
        <f>+F15/$E$35</f>
        <v>108.33333333333336</v>
      </c>
      <c r="G16" s="3"/>
      <c r="H16" s="20"/>
      <c r="I16" s="263"/>
      <c r="J16" s="95">
        <f>+J15/$E$35</f>
        <v>58.477690288713923</v>
      </c>
      <c r="K16" s="3"/>
      <c r="L16" s="97">
        <f>+L15/$E$35</f>
        <v>52.690288713910768</v>
      </c>
    </row>
    <row r="17" spans="1:11">
      <c r="A17" s="3"/>
      <c r="B17" s="20"/>
      <c r="C17" s="20"/>
      <c r="D17" s="3"/>
      <c r="E17" s="3"/>
      <c r="H17" s="20"/>
      <c r="I17" s="20"/>
      <c r="J17" s="3"/>
      <c r="K17" s="3"/>
    </row>
    <row r="18" spans="1:11">
      <c r="A18" s="3"/>
      <c r="B18" s="20"/>
      <c r="D18" s="3"/>
      <c r="E18" s="3"/>
      <c r="H18" s="266"/>
      <c r="I18" s="20"/>
      <c r="J18" s="3"/>
      <c r="K18" s="3"/>
    </row>
    <row r="19" spans="1:11">
      <c r="A19" s="3"/>
      <c r="B19" s="20"/>
      <c r="D19" s="3"/>
      <c r="E19" s="3"/>
      <c r="G19" s="3"/>
      <c r="H19" s="285">
        <f>+C30</f>
        <v>2540</v>
      </c>
      <c r="I19" s="20"/>
      <c r="J19" s="3"/>
      <c r="K19" s="3"/>
    </row>
    <row r="20" spans="1:11">
      <c r="A20" s="3"/>
      <c r="B20" s="20"/>
      <c r="C20" s="20"/>
      <c r="D20" s="3"/>
      <c r="E20" s="3"/>
      <c r="F20" s="3"/>
      <c r="G20" s="3"/>
      <c r="H20" s="157">
        <f>+H19/$E$35</f>
        <v>100</v>
      </c>
      <c r="I20" s="20"/>
      <c r="J20" s="3"/>
      <c r="K20" s="3"/>
    </row>
    <row r="21" spans="1:11">
      <c r="A21" s="3"/>
      <c r="B21" s="20"/>
      <c r="C21" s="20"/>
      <c r="D21" s="3"/>
      <c r="E21" s="3"/>
      <c r="F21" s="3"/>
      <c r="G21" s="3"/>
      <c r="H21" s="20"/>
      <c r="I21" s="20"/>
      <c r="J21" s="3"/>
      <c r="K21" s="3"/>
    </row>
    <row r="22" spans="1:11">
      <c r="A22" s="98">
        <v>70</v>
      </c>
      <c r="B22" s="20"/>
      <c r="C22" s="20"/>
      <c r="D22" s="3"/>
      <c r="F22" s="3"/>
      <c r="G22" s="3"/>
      <c r="H22" s="20"/>
      <c r="I22" s="20"/>
      <c r="J22" s="3"/>
      <c r="K22" s="3"/>
    </row>
    <row r="23" spans="1:11">
      <c r="A23" s="99">
        <f>A22/E32</f>
        <v>0.33333333333333331</v>
      </c>
      <c r="B23" s="20"/>
      <c r="C23" s="20"/>
      <c r="D23" s="3"/>
      <c r="F23" s="3"/>
      <c r="G23" s="3"/>
      <c r="H23" s="20"/>
      <c r="I23" s="20"/>
      <c r="J23" s="3"/>
      <c r="K23" s="3"/>
    </row>
    <row r="24" spans="1:11" ht="19" customHeight="1">
      <c r="A24" s="3"/>
      <c r="B24" s="20"/>
      <c r="C24" s="20"/>
      <c r="D24" s="3"/>
      <c r="E24" s="130">
        <f>+E34</f>
        <v>2842</v>
      </c>
      <c r="F24" s="89">
        <f>+E24/$E$35</f>
        <v>111.88976377952757</v>
      </c>
      <c r="G24" s="3"/>
      <c r="H24" s="20"/>
      <c r="I24" s="20"/>
      <c r="J24" s="3"/>
      <c r="K24" s="3"/>
    </row>
    <row r="25" spans="1:11">
      <c r="B25" s="20"/>
      <c r="C25" s="20"/>
      <c r="D25" s="3"/>
      <c r="G25" s="3"/>
      <c r="H25" s="20"/>
      <c r="I25" s="20"/>
      <c r="J25" s="3"/>
      <c r="K25" s="3"/>
    </row>
    <row r="26" spans="1:11"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>
      <c r="B27" s="3"/>
      <c r="C27" s="3"/>
      <c r="D27" s="3"/>
      <c r="E27" s="3"/>
      <c r="F27" s="3"/>
      <c r="G27" s="3"/>
      <c r="H27" s="3"/>
      <c r="I27" s="3"/>
      <c r="J27" s="3"/>
    </row>
    <row r="28" spans="1:11" ht="18" customHeight="1" thickBot="1">
      <c r="A28" s="3"/>
      <c r="B28" s="3"/>
      <c r="C28" s="3"/>
      <c r="D28" s="3"/>
      <c r="G28" s="3"/>
      <c r="H28" s="3"/>
      <c r="I28" s="3"/>
      <c r="J28" s="3"/>
    </row>
    <row r="29" spans="1:11">
      <c r="A29" s="9"/>
      <c r="B29" s="10" t="s">
        <v>5</v>
      </c>
      <c r="C29" s="267" t="s">
        <v>6</v>
      </c>
      <c r="D29" s="12" t="s">
        <v>7</v>
      </c>
      <c r="E29" s="360" t="s">
        <v>141</v>
      </c>
      <c r="F29" s="361"/>
      <c r="G29" s="12" t="s">
        <v>8</v>
      </c>
      <c r="H29" s="330">
        <f ca="1">NOW()</f>
        <v>43377.415750578701</v>
      </c>
      <c r="I29" s="330"/>
      <c r="J29" s="330"/>
      <c r="K29" s="331"/>
    </row>
    <row r="30" spans="1:11">
      <c r="A30" s="136" t="s">
        <v>9</v>
      </c>
      <c r="B30" s="101">
        <f t="shared" ref="B30:B35" si="0">+C30/$E$35</f>
        <v>100</v>
      </c>
      <c r="C30" s="268">
        <v>2540</v>
      </c>
      <c r="D30" s="16" t="s">
        <v>10</v>
      </c>
      <c r="E30" s="362">
        <v>2.4</v>
      </c>
      <c r="F30" s="363"/>
      <c r="G30" s="16" t="s">
        <v>11</v>
      </c>
      <c r="H30" s="334"/>
      <c r="I30" s="334"/>
      <c r="J30" s="334"/>
      <c r="K30" s="335"/>
    </row>
    <row r="31" spans="1:11">
      <c r="A31" s="13" t="s">
        <v>12</v>
      </c>
      <c r="B31" s="101">
        <f t="shared" si="0"/>
        <v>41.666666666666679</v>
      </c>
      <c r="C31" s="269">
        <f>+C30/E30</f>
        <v>1058.3333333333335</v>
      </c>
      <c r="D31" s="16" t="s">
        <v>70</v>
      </c>
      <c r="E31" s="269">
        <f>C30+350</f>
        <v>2890</v>
      </c>
      <c r="F31" s="269">
        <v>147</v>
      </c>
      <c r="G31" s="16" t="s">
        <v>15</v>
      </c>
      <c r="H31" s="323"/>
      <c r="I31" s="324"/>
      <c r="J31" s="324"/>
      <c r="K31" s="325"/>
    </row>
    <row r="32" spans="1:11">
      <c r="A32" s="13" t="s">
        <v>16</v>
      </c>
      <c r="B32" s="101">
        <f t="shared" si="0"/>
        <v>113.77952755905513</v>
      </c>
      <c r="C32" s="270">
        <f>E31</f>
        <v>2890</v>
      </c>
      <c r="D32" s="16" t="s">
        <v>71</v>
      </c>
      <c r="E32" s="269">
        <v>210</v>
      </c>
      <c r="F32" s="102" t="s">
        <v>131</v>
      </c>
      <c r="G32" s="103"/>
      <c r="H32" s="262"/>
      <c r="I32" s="3"/>
      <c r="J32" s="3"/>
      <c r="K32" s="21"/>
    </row>
    <row r="33" spans="1:11">
      <c r="A33" s="13" t="s">
        <v>19</v>
      </c>
      <c r="B33" s="101">
        <f t="shared" si="0"/>
        <v>58.477690288713923</v>
      </c>
      <c r="C33" s="270">
        <f>+C31+J6+A7+70</f>
        <v>1485.3333333333335</v>
      </c>
      <c r="D33" s="22" t="s">
        <v>20</v>
      </c>
      <c r="E33" s="271" t="s">
        <v>72</v>
      </c>
      <c r="F33" s="272" t="s">
        <v>132</v>
      </c>
      <c r="G33" s="25"/>
      <c r="H33" s="25"/>
      <c r="I33" s="25"/>
      <c r="J33" s="25"/>
      <c r="K33" s="26"/>
    </row>
    <row r="34" spans="1:11">
      <c r="A34" s="13" t="s">
        <v>21</v>
      </c>
      <c r="B34" s="101">
        <f t="shared" si="0"/>
        <v>108.33333333333336</v>
      </c>
      <c r="C34" s="270">
        <f>SQRT((C30^2)+(C31^2))</f>
        <v>2751.666666666667</v>
      </c>
      <c r="D34" s="22" t="s">
        <v>73</v>
      </c>
      <c r="E34" s="273">
        <f>302+C30</f>
        <v>2842</v>
      </c>
      <c r="F34" s="272"/>
      <c r="G34" s="25"/>
      <c r="H34" s="25"/>
      <c r="I34" s="25"/>
      <c r="J34" s="25"/>
      <c r="K34" s="26"/>
    </row>
    <row r="35" spans="1:11" ht="17" thickBot="1">
      <c r="A35" s="28" t="s">
        <v>23</v>
      </c>
      <c r="B35" s="105">
        <f t="shared" si="0"/>
        <v>9.9212598425196852</v>
      </c>
      <c r="C35" s="274">
        <v>252</v>
      </c>
      <c r="D35" s="31" t="s">
        <v>24</v>
      </c>
      <c r="E35" s="275">
        <v>25.4</v>
      </c>
      <c r="F35" s="33"/>
      <c r="G35" s="33"/>
      <c r="H35" s="33"/>
      <c r="I35" s="33"/>
      <c r="J35" s="33"/>
      <c r="K35" s="72" t="s">
        <v>59</v>
      </c>
    </row>
    <row r="37" spans="1:11" ht="16" customHeight="1">
      <c r="B37" s="112" t="s">
        <v>134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ht="7" customHeight="1">
      <c r="B38" s="113"/>
      <c r="C38" s="3"/>
      <c r="D38" s="25"/>
      <c r="E38" s="25"/>
      <c r="F38" s="3"/>
    </row>
    <row r="39" spans="1:11" ht="16" customHeight="1">
      <c r="B39" s="108"/>
      <c r="C39" s="121" t="s">
        <v>27</v>
      </c>
      <c r="D39" s="121" t="s">
        <v>5</v>
      </c>
      <c r="E39" s="121" t="s">
        <v>6</v>
      </c>
    </row>
    <row r="40" spans="1:11" ht="16" customHeight="1">
      <c r="B40" s="108" t="s">
        <v>30</v>
      </c>
      <c r="C40" s="111" t="s">
        <v>31</v>
      </c>
      <c r="D40" s="110">
        <v>140</v>
      </c>
      <c r="E40" s="110">
        <f>D40*25.4</f>
        <v>3556</v>
      </c>
      <c r="G40" s="3" t="s">
        <v>32</v>
      </c>
    </row>
    <row r="42" spans="1:11">
      <c r="B42" s="107" t="s">
        <v>33</v>
      </c>
      <c r="C42" s="115"/>
      <c r="D42" s="115"/>
      <c r="E42" s="115"/>
      <c r="F42" s="115"/>
      <c r="G42" s="115"/>
      <c r="H42" s="115"/>
      <c r="I42" s="115"/>
      <c r="J42" s="115"/>
      <c r="K42" s="115"/>
    </row>
    <row r="43" spans="1:11">
      <c r="B43" s="35" t="s">
        <v>135</v>
      </c>
      <c r="C43" s="35"/>
      <c r="D43" s="35"/>
      <c r="E43" s="35"/>
      <c r="F43" s="35"/>
      <c r="G43" s="35"/>
      <c r="H43" s="35"/>
    </row>
    <row r="44" spans="1:11">
      <c r="B44" s="35"/>
      <c r="C44" s="35"/>
      <c r="D44" s="35"/>
      <c r="E44" s="35"/>
      <c r="F44" s="35"/>
      <c r="G44" s="35"/>
      <c r="H44" s="35"/>
    </row>
    <row r="45" spans="1:11">
      <c r="B45" s="107" t="s">
        <v>38</v>
      </c>
      <c r="C45" s="115"/>
      <c r="D45" s="115"/>
      <c r="E45" s="115"/>
      <c r="F45" s="115"/>
      <c r="G45" s="115"/>
      <c r="H45" s="115"/>
      <c r="I45" s="115"/>
      <c r="J45" s="115"/>
      <c r="K45" s="115"/>
    </row>
    <row r="46" spans="1:11">
      <c r="B46" s="1" t="s">
        <v>136</v>
      </c>
    </row>
    <row r="48" spans="1:11">
      <c r="B48" s="1" t="s">
        <v>78</v>
      </c>
    </row>
    <row r="49" spans="2:3">
      <c r="B49" s="276">
        <f>+E31+100</f>
        <v>2990</v>
      </c>
      <c r="C49" s="1" t="s">
        <v>41</v>
      </c>
    </row>
    <row r="50" spans="2:3">
      <c r="B50" s="277">
        <v>350</v>
      </c>
      <c r="C50" s="1" t="s">
        <v>42</v>
      </c>
    </row>
    <row r="51" spans="2:3">
      <c r="B51" s="277">
        <v>500</v>
      </c>
      <c r="C51" s="1" t="s">
        <v>23</v>
      </c>
    </row>
    <row r="52" spans="2:3">
      <c r="B52" s="278"/>
    </row>
  </sheetData>
  <mergeCells count="7">
    <mergeCell ref="H31:K31"/>
    <mergeCell ref="A1:K1"/>
    <mergeCell ref="A2:K2"/>
    <mergeCell ref="E29:F29"/>
    <mergeCell ref="H29:K29"/>
    <mergeCell ref="E30:F30"/>
    <mergeCell ref="H30:K30"/>
  </mergeCells>
  <printOptions horizontalCentered="1" verticalCentered="1"/>
  <pageMargins left="0.39000000000000007" right="0.39000000000000007" top="0.39000000000000007" bottom="0.39000000000000007" header="0.2" footer="0.2"/>
  <pageSetup paperSize="9" scale="67" fitToHeight="0" orientation="portrait" horizontalDpi="4294967292" verticalDpi="429496729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K60"/>
  <sheetViews>
    <sheetView showGridLines="0" workbookViewId="0">
      <selection activeCell="F47" sqref="F47"/>
    </sheetView>
  </sheetViews>
  <sheetFormatPr baseColWidth="10" defaultColWidth="10.83203125" defaultRowHeight="16"/>
  <cols>
    <col min="1" max="1" width="10" style="1" customWidth="1"/>
    <col min="2" max="3" width="10.83203125" style="1"/>
    <col min="4" max="4" width="11.6640625" style="1" customWidth="1"/>
    <col min="5" max="16384" width="10.83203125" style="1"/>
  </cols>
  <sheetData>
    <row r="1" spans="1:11" ht="35" customHeight="1">
      <c r="A1" s="326" t="s">
        <v>86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s="2" customFormat="1" ht="35" customHeight="1">
      <c r="A2" s="327" t="str">
        <f>+ROUND(B29,0)&amp;""""&amp;" "&amp;E29&amp;" Aspect Ratio"</f>
        <v>100" 1.78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1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>
      <c r="A4" s="3"/>
      <c r="B4" s="81"/>
      <c r="C4" s="81"/>
      <c r="D4" s="81"/>
      <c r="E4" s="81"/>
      <c r="F4" s="81"/>
      <c r="G4" s="81"/>
      <c r="H4" s="81"/>
      <c r="I4" s="81"/>
      <c r="J4" s="3"/>
      <c r="K4" s="3"/>
    </row>
    <row r="5" spans="1:11">
      <c r="A5" s="3"/>
      <c r="B5" s="81"/>
      <c r="C5" s="81"/>
      <c r="D5" s="81"/>
      <c r="E5" s="81"/>
      <c r="F5" s="81"/>
      <c r="G5" s="81"/>
      <c r="H5" s="81"/>
      <c r="I5" s="81"/>
      <c r="J5" s="3"/>
      <c r="K5" s="3"/>
    </row>
    <row r="6" spans="1:11">
      <c r="A6" s="3"/>
      <c r="B6" s="81"/>
      <c r="C6" s="81"/>
      <c r="D6" s="81"/>
      <c r="E6" s="81"/>
      <c r="F6" s="81"/>
      <c r="G6" s="81"/>
      <c r="H6" s="81"/>
      <c r="I6" s="81"/>
      <c r="J6" s="3"/>
      <c r="K6" s="3"/>
    </row>
    <row r="7" spans="1:11">
      <c r="A7" s="3"/>
      <c r="B7" s="82"/>
      <c r="C7" s="82"/>
      <c r="D7" s="81"/>
      <c r="E7" s="81"/>
      <c r="F7" s="81"/>
      <c r="G7" s="81"/>
      <c r="H7" s="82"/>
      <c r="I7" s="82"/>
      <c r="J7" s="3"/>
      <c r="K7" s="3"/>
    </row>
    <row r="8" spans="1:11">
      <c r="A8" s="3"/>
      <c r="B8" s="82"/>
      <c r="C8" s="82"/>
      <c r="D8" s="81"/>
      <c r="E8" s="82"/>
      <c r="F8" s="81"/>
      <c r="G8" s="81"/>
      <c r="H8" s="82"/>
      <c r="I8" s="82"/>
      <c r="J8" s="3"/>
      <c r="K8" s="3"/>
    </row>
    <row r="9" spans="1:11">
      <c r="A9" s="3"/>
      <c r="B9" s="82"/>
      <c r="C9" s="82"/>
      <c r="D9" s="82"/>
      <c r="E9" s="82"/>
      <c r="F9" s="81"/>
      <c r="G9" s="81"/>
      <c r="H9" s="82"/>
      <c r="I9" s="82"/>
      <c r="J9" s="3"/>
      <c r="K9" s="3"/>
    </row>
    <row r="10" spans="1:11">
      <c r="A10" s="3"/>
      <c r="B10" s="82"/>
      <c r="C10" s="82"/>
      <c r="D10" s="81"/>
      <c r="E10" s="81"/>
      <c r="F10" s="81"/>
      <c r="G10" s="81"/>
      <c r="H10" s="82"/>
      <c r="I10" s="82"/>
      <c r="J10" s="3"/>
      <c r="K10" s="3"/>
    </row>
    <row r="11" spans="1:11">
      <c r="A11" s="3"/>
      <c r="E11" s="141">
        <f>+C29</f>
        <v>2540</v>
      </c>
      <c r="G11" s="3"/>
      <c r="K11" s="3"/>
    </row>
    <row r="12" spans="1:11">
      <c r="A12" s="3"/>
      <c r="E12" s="307">
        <f>+E11/$E$34</f>
        <v>100</v>
      </c>
      <c r="F12" s="5"/>
      <c r="G12" s="3"/>
      <c r="J12" s="3"/>
      <c r="K12" s="3"/>
    </row>
    <row r="13" spans="1:11">
      <c r="A13" s="3"/>
      <c r="D13" s="3"/>
      <c r="E13" s="3"/>
      <c r="F13" s="3"/>
      <c r="G13" s="3"/>
      <c r="J13" s="6">
        <f>+C32</f>
        <v>1634.9662921348315</v>
      </c>
      <c r="K13" s="3"/>
    </row>
    <row r="14" spans="1:11">
      <c r="A14" s="3"/>
      <c r="D14" s="186">
        <f>+C30</f>
        <v>1426.9662921348315</v>
      </c>
      <c r="E14" s="3"/>
      <c r="G14" s="3"/>
      <c r="J14" s="4">
        <f>+J13/$E$34</f>
        <v>64.368751658851636</v>
      </c>
      <c r="K14" s="3"/>
    </row>
    <row r="15" spans="1:11">
      <c r="A15" s="3"/>
      <c r="D15" s="185">
        <f>+D14/$E$34</f>
        <v>56.17977528089888</v>
      </c>
      <c r="E15" s="3"/>
      <c r="G15" s="3"/>
      <c r="H15" s="83">
        <f>+E31</f>
        <v>1058.3333333333335</v>
      </c>
      <c r="J15" s="3"/>
      <c r="K15" s="3"/>
    </row>
    <row r="16" spans="1:11">
      <c r="A16" s="3"/>
      <c r="D16" s="3"/>
      <c r="E16" s="6">
        <f>+C33</f>
        <v>2913.3885423830839</v>
      </c>
      <c r="F16" s="3"/>
      <c r="G16" s="3"/>
      <c r="H16" s="305">
        <f>+H15/E34</f>
        <v>41.666666666666679</v>
      </c>
      <c r="J16" s="3"/>
      <c r="K16" s="3"/>
    </row>
    <row r="17" spans="1:11">
      <c r="A17" s="3"/>
      <c r="D17" s="3"/>
      <c r="E17" s="42">
        <f>+E16/$E$34</f>
        <v>114.70033631429465</v>
      </c>
      <c r="F17" s="3"/>
      <c r="G17" s="3"/>
      <c r="J17" s="3"/>
      <c r="K17" s="3"/>
    </row>
    <row r="18" spans="1:11">
      <c r="A18" s="3"/>
      <c r="D18" s="3"/>
      <c r="E18" s="3"/>
      <c r="F18" s="3"/>
      <c r="G18" s="3"/>
      <c r="J18" s="3"/>
      <c r="K18" s="3"/>
    </row>
    <row r="19" spans="1:11">
      <c r="A19" s="3"/>
      <c r="D19" s="3"/>
      <c r="E19" s="7"/>
      <c r="F19" s="3"/>
      <c r="G19" s="3"/>
      <c r="J19" s="3"/>
      <c r="K19" s="3"/>
    </row>
    <row r="20" spans="1:11">
      <c r="A20" s="3"/>
      <c r="D20" s="3"/>
      <c r="E20" s="8"/>
      <c r="F20" s="3"/>
      <c r="G20" s="3"/>
      <c r="J20" s="3"/>
      <c r="K20" s="3"/>
    </row>
    <row r="21" spans="1:11">
      <c r="A21" s="3"/>
      <c r="B21" s="20"/>
      <c r="C21" s="20"/>
      <c r="D21" s="20"/>
      <c r="E21" s="20"/>
      <c r="F21" s="20"/>
      <c r="G21" s="20"/>
      <c r="H21" s="20"/>
      <c r="I21" s="20"/>
      <c r="J21" s="3"/>
      <c r="K21" s="3"/>
    </row>
    <row r="22" spans="1:11">
      <c r="A22" s="3"/>
      <c r="B22" s="20"/>
      <c r="C22" s="20"/>
      <c r="D22" s="20"/>
      <c r="E22" s="20"/>
      <c r="F22" s="20"/>
      <c r="G22" s="20"/>
      <c r="H22" s="20"/>
      <c r="I22" s="20"/>
      <c r="J22" s="3"/>
      <c r="K22" s="3"/>
    </row>
    <row r="23" spans="1:11">
      <c r="A23" s="3"/>
      <c r="B23" s="20"/>
      <c r="C23" s="20"/>
      <c r="D23" s="20"/>
      <c r="E23" s="20"/>
      <c r="F23" s="20"/>
      <c r="G23" s="20"/>
      <c r="H23" s="20"/>
      <c r="I23" s="20"/>
      <c r="J23" s="3"/>
      <c r="K23" s="3"/>
    </row>
    <row r="24" spans="1:11">
      <c r="A24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>
      <c r="A25" s="3"/>
      <c r="B25" s="3"/>
      <c r="C25" s="3"/>
      <c r="D25" s="3"/>
      <c r="E25" s="3"/>
      <c r="F25" s="3"/>
      <c r="G25" s="3"/>
      <c r="H25" s="3"/>
      <c r="I25" s="3"/>
      <c r="J25" s="3"/>
      <c r="K25" s="186">
        <f>+C34</f>
        <v>145</v>
      </c>
    </row>
    <row r="26" spans="1:11">
      <c r="A26" s="3"/>
      <c r="B26" s="3"/>
      <c r="C26" s="3"/>
      <c r="D26" s="3"/>
      <c r="E26" s="77">
        <f>+C31</f>
        <v>2728</v>
      </c>
      <c r="F26" s="3"/>
      <c r="G26" s="3"/>
      <c r="H26" s="3"/>
      <c r="I26" s="3"/>
      <c r="J26" s="3"/>
      <c r="K26" s="185">
        <f>+K25/$E$34</f>
        <v>5.7086614173228352</v>
      </c>
    </row>
    <row r="27" spans="1:11" ht="17" thickBot="1">
      <c r="A27" s="3"/>
      <c r="B27" s="3"/>
      <c r="C27" s="3"/>
      <c r="D27" s="3"/>
      <c r="E27" s="185">
        <f>+E26/$E$34</f>
        <v>107.40157480314961</v>
      </c>
      <c r="F27" s="3"/>
      <c r="G27" s="3"/>
      <c r="H27" s="3"/>
      <c r="I27" s="3"/>
      <c r="J27" s="3"/>
    </row>
    <row r="28" spans="1:11">
      <c r="A28" s="9"/>
      <c r="B28" s="10" t="s">
        <v>5</v>
      </c>
      <c r="C28" s="11" t="s">
        <v>6</v>
      </c>
      <c r="D28" s="12" t="s">
        <v>7</v>
      </c>
      <c r="E28" s="328" t="s">
        <v>87</v>
      </c>
      <c r="F28" s="329"/>
      <c r="G28" s="12" t="s">
        <v>8</v>
      </c>
      <c r="H28" s="330">
        <f ca="1">NOW()</f>
        <v>43377.415750578701</v>
      </c>
      <c r="I28" s="330"/>
      <c r="J28" s="330"/>
      <c r="K28" s="331"/>
    </row>
    <row r="29" spans="1:11">
      <c r="A29" s="136" t="s">
        <v>9</v>
      </c>
      <c r="B29" s="14">
        <f t="shared" ref="B29:B34" si="0">+C29/$E$34</f>
        <v>100</v>
      </c>
      <c r="C29" s="15">
        <v>2540</v>
      </c>
      <c r="D29" s="137" t="s">
        <v>10</v>
      </c>
      <c r="E29" s="332">
        <v>1.78</v>
      </c>
      <c r="F29" s="333"/>
      <c r="G29" s="16" t="s">
        <v>11</v>
      </c>
      <c r="H29" s="334"/>
      <c r="I29" s="334"/>
      <c r="J29" s="334"/>
      <c r="K29" s="335"/>
    </row>
    <row r="30" spans="1:11">
      <c r="A30" s="13" t="s">
        <v>12</v>
      </c>
      <c r="B30" s="14">
        <f t="shared" si="0"/>
        <v>56.17977528089888</v>
      </c>
      <c r="C30" s="17">
        <f>+C29/E29</f>
        <v>1426.9662921348315</v>
      </c>
      <c r="D30" s="16" t="s">
        <v>13</v>
      </c>
      <c r="E30" s="365">
        <v>2.4</v>
      </c>
      <c r="F30" s="366"/>
      <c r="G30" s="16" t="s">
        <v>15</v>
      </c>
      <c r="H30" s="323"/>
      <c r="I30" s="324"/>
      <c r="J30" s="324"/>
      <c r="K30" s="325"/>
    </row>
    <row r="31" spans="1:11">
      <c r="A31" s="13" t="s">
        <v>16</v>
      </c>
      <c r="B31" s="14">
        <f t="shared" si="0"/>
        <v>107.40157480314961</v>
      </c>
      <c r="C31" s="18">
        <f>+C29+(2*E33)</f>
        <v>2728</v>
      </c>
      <c r="D31" s="16" t="s">
        <v>88</v>
      </c>
      <c r="E31" s="53">
        <f>+C29/E30</f>
        <v>1058.3333333333335</v>
      </c>
      <c r="F31" s="20" t="s">
        <v>18</v>
      </c>
      <c r="G31" s="3"/>
      <c r="H31" s="3"/>
      <c r="I31" s="3"/>
      <c r="J31" s="3"/>
      <c r="K31" s="21"/>
    </row>
    <row r="32" spans="1:11">
      <c r="A32" s="13" t="s">
        <v>19</v>
      </c>
      <c r="B32" s="14">
        <f t="shared" si="0"/>
        <v>64.368751658851636</v>
      </c>
      <c r="C32" s="18">
        <f>+C30+(2*E33)+20</f>
        <v>1634.9662921348315</v>
      </c>
      <c r="D32" s="22" t="s">
        <v>20</v>
      </c>
      <c r="E32" s="78" t="s">
        <v>72</v>
      </c>
      <c r="F32" s="24"/>
      <c r="G32" s="25"/>
      <c r="H32" s="25"/>
      <c r="I32" s="25"/>
      <c r="J32" s="25"/>
      <c r="K32" s="26"/>
    </row>
    <row r="33" spans="1:11">
      <c r="A33" s="13" t="s">
        <v>21</v>
      </c>
      <c r="B33" s="14">
        <f t="shared" si="0"/>
        <v>114.70033631429465</v>
      </c>
      <c r="C33" s="18">
        <f>SQRT((C29^2)+(C30^2))</f>
        <v>2913.3885423830839</v>
      </c>
      <c r="D33" s="22" t="s">
        <v>22</v>
      </c>
      <c r="E33" s="58">
        <v>94</v>
      </c>
      <c r="F33" s="24"/>
      <c r="G33" s="25"/>
      <c r="H33" s="25"/>
      <c r="I33" s="25"/>
      <c r="J33" s="25"/>
      <c r="K33" s="26"/>
    </row>
    <row r="34" spans="1:11" ht="17" thickBot="1">
      <c r="A34" s="28" t="s">
        <v>23</v>
      </c>
      <c r="B34" s="29">
        <f t="shared" si="0"/>
        <v>5.7086614173228352</v>
      </c>
      <c r="C34" s="74">
        <v>145</v>
      </c>
      <c r="D34" s="31" t="s">
        <v>24</v>
      </c>
      <c r="E34" s="63">
        <v>25.4</v>
      </c>
      <c r="F34" s="33"/>
      <c r="G34" s="33"/>
      <c r="H34" s="33"/>
      <c r="I34" s="33"/>
      <c r="J34" s="33"/>
      <c r="K34" s="72" t="s">
        <v>59</v>
      </c>
    </row>
    <row r="36" spans="1:11">
      <c r="B36" s="107" t="s">
        <v>89</v>
      </c>
      <c r="C36" s="107"/>
      <c r="D36" s="107"/>
      <c r="E36" s="107"/>
      <c r="F36" s="107"/>
      <c r="G36" s="107"/>
      <c r="H36" s="107"/>
      <c r="I36" s="107"/>
      <c r="J36" s="107"/>
      <c r="K36" s="107"/>
    </row>
    <row r="37" spans="1:11">
      <c r="B37" s="116" t="s">
        <v>90</v>
      </c>
      <c r="C37" s="114" t="s">
        <v>91</v>
      </c>
      <c r="D37" s="116" t="s">
        <v>92</v>
      </c>
      <c r="E37" s="114" t="s">
        <v>93</v>
      </c>
      <c r="F37" s="114" t="s">
        <v>94</v>
      </c>
    </row>
    <row r="38" spans="1:11">
      <c r="B38" s="118">
        <f>E30</f>
        <v>2.4</v>
      </c>
      <c r="C38" s="124">
        <f>+D38/B38</f>
        <v>1058.3333333333335</v>
      </c>
      <c r="D38" s="124">
        <f>+$E$11</f>
        <v>2540</v>
      </c>
      <c r="E38" s="135">
        <f>+$C$30-C38</f>
        <v>368.63295880149803</v>
      </c>
      <c r="F38" s="125">
        <f>+E38/D38</f>
        <v>0.14513108614232206</v>
      </c>
    </row>
    <row r="39" spans="1:11">
      <c r="B39" s="118">
        <v>1.85</v>
      </c>
      <c r="C39" s="124">
        <f>+D39/B39</f>
        <v>1372.9729729729729</v>
      </c>
      <c r="D39" s="117">
        <f>+$E$11</f>
        <v>2540</v>
      </c>
      <c r="E39" s="135">
        <f>+$C$30-C39</f>
        <v>53.993319161858608</v>
      </c>
      <c r="F39" s="125">
        <f>+E39/D39</f>
        <v>2.1257212268448272E-2</v>
      </c>
    </row>
    <row r="40" spans="1:11">
      <c r="B40" s="118">
        <v>1.78</v>
      </c>
      <c r="C40" s="124">
        <f>+D40/B40</f>
        <v>1426.9662921348315</v>
      </c>
      <c r="D40" s="117">
        <f>+$E$11</f>
        <v>2540</v>
      </c>
      <c r="E40" s="135">
        <f>+$C$30-C40</f>
        <v>0</v>
      </c>
      <c r="F40" s="125">
        <f>+E40/D40</f>
        <v>0</v>
      </c>
    </row>
    <row r="42" spans="1:11" ht="16" customHeight="1">
      <c r="B42" s="112" t="s">
        <v>26</v>
      </c>
      <c r="C42" s="115"/>
      <c r="D42" s="120"/>
      <c r="E42" s="120"/>
      <c r="F42" s="115"/>
      <c r="G42" s="115"/>
      <c r="H42" s="115"/>
      <c r="I42" s="115"/>
      <c r="J42" s="115"/>
      <c r="K42" s="115"/>
    </row>
    <row r="43" spans="1:11" ht="7" customHeight="1">
      <c r="B43" s="113"/>
      <c r="C43" s="3"/>
      <c r="D43" s="25"/>
      <c r="E43" s="25"/>
      <c r="F43" s="3"/>
    </row>
    <row r="44" spans="1:11" ht="16" customHeight="1">
      <c r="B44" s="164" t="s">
        <v>47</v>
      </c>
      <c r="D44" s="364" t="s">
        <v>27</v>
      </c>
      <c r="E44" s="364"/>
      <c r="F44" s="184" t="s">
        <v>5</v>
      </c>
      <c r="G44" s="184" t="s">
        <v>6</v>
      </c>
    </row>
    <row r="45" spans="1:11" ht="16" customHeight="1">
      <c r="B45" s="1" t="s">
        <v>48</v>
      </c>
      <c r="D45" s="162" t="s">
        <v>28</v>
      </c>
      <c r="E45" s="163" t="s">
        <v>29</v>
      </c>
      <c r="F45" s="110">
        <v>106</v>
      </c>
      <c r="G45" s="93">
        <f>F45*25.4</f>
        <v>2692.3999999999996</v>
      </c>
    </row>
    <row r="46" spans="1:11" ht="16" customHeight="1">
      <c r="B46" s="1" t="s">
        <v>127</v>
      </c>
      <c r="D46" s="162" t="s">
        <v>28</v>
      </c>
      <c r="E46" s="163" t="s">
        <v>29</v>
      </c>
      <c r="F46" s="110">
        <v>130</v>
      </c>
      <c r="G46" s="110">
        <f>F46*25.4</f>
        <v>3302</v>
      </c>
    </row>
    <row r="47" spans="1:11" ht="16" customHeight="1">
      <c r="B47" s="3" t="s">
        <v>141</v>
      </c>
      <c r="D47" s="162" t="s">
        <v>28</v>
      </c>
      <c r="E47" s="163" t="s">
        <v>29</v>
      </c>
      <c r="F47" s="110">
        <v>180</v>
      </c>
      <c r="G47" s="110">
        <f>F47*25.4</f>
        <v>4572</v>
      </c>
      <c r="H47" s="3"/>
    </row>
    <row r="49" spans="2:11">
      <c r="B49" s="107" t="s">
        <v>33</v>
      </c>
      <c r="C49" s="115"/>
      <c r="D49" s="115"/>
      <c r="E49" s="115"/>
      <c r="F49" s="115"/>
      <c r="G49" s="115"/>
      <c r="H49" s="115"/>
      <c r="I49" s="115"/>
      <c r="J49" s="115"/>
      <c r="K49" s="115"/>
    </row>
    <row r="50" spans="2:11">
      <c r="B50" s="35" t="s">
        <v>95</v>
      </c>
      <c r="C50" s="35"/>
      <c r="D50" s="35"/>
      <c r="E50" s="35"/>
      <c r="F50" s="35"/>
      <c r="G50" s="35"/>
      <c r="H50" s="35"/>
      <c r="I50" s="35"/>
      <c r="J50" s="35"/>
      <c r="K50" s="35"/>
    </row>
    <row r="51" spans="2:11">
      <c r="B51" s="35"/>
      <c r="C51" s="35"/>
      <c r="D51" s="35"/>
      <c r="E51" s="35"/>
      <c r="F51" s="35"/>
      <c r="G51" s="35"/>
      <c r="H51" s="35"/>
      <c r="I51" s="35"/>
      <c r="J51" s="35"/>
      <c r="K51" s="35"/>
    </row>
    <row r="52" spans="2:11">
      <c r="B52" s="107" t="s">
        <v>38</v>
      </c>
      <c r="C52" s="115"/>
      <c r="D52" s="115"/>
      <c r="E52" s="115"/>
      <c r="F52" s="115"/>
      <c r="G52" s="115"/>
      <c r="H52" s="115"/>
      <c r="I52" s="115"/>
      <c r="J52" s="115"/>
      <c r="K52" s="115"/>
    </row>
    <row r="53" spans="2:11">
      <c r="B53" s="1" t="s">
        <v>128</v>
      </c>
    </row>
    <row r="54" spans="2:11">
      <c r="B54" s="1" t="s">
        <v>96</v>
      </c>
    </row>
    <row r="55" spans="2:11" ht="4" customHeight="1"/>
    <row r="56" spans="2:11">
      <c r="B56" s="1" t="s">
        <v>63</v>
      </c>
    </row>
    <row r="57" spans="2:11">
      <c r="B57" s="65">
        <f>+(C31)+100</f>
        <v>2828</v>
      </c>
      <c r="C57" s="1" t="s">
        <v>41</v>
      </c>
    </row>
    <row r="58" spans="2:11">
      <c r="B58" s="65">
        <f>(C32/2)+100</f>
        <v>917.48314606741576</v>
      </c>
      <c r="C58" s="1" t="s">
        <v>42</v>
      </c>
    </row>
    <row r="59" spans="2:11">
      <c r="B59" s="65">
        <v>350</v>
      </c>
      <c r="C59" s="1" t="s">
        <v>43</v>
      </c>
    </row>
    <row r="60" spans="2:11">
      <c r="B60" s="37"/>
    </row>
  </sheetData>
  <mergeCells count="9">
    <mergeCell ref="D44:E44"/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ageMargins left="0.75000000000000011" right="0.75000000000000011" top="1" bottom="1" header="0.5" footer="0.5"/>
  <pageSetup paperSize="9" scale="62" orientation="portrait" horizontalDpi="0" verticalDpi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59"/>
  <sheetViews>
    <sheetView showGridLines="0" workbookViewId="0">
      <selection activeCell="F47" sqref="F47"/>
    </sheetView>
  </sheetViews>
  <sheetFormatPr baseColWidth="10" defaultColWidth="10.83203125" defaultRowHeight="16"/>
  <cols>
    <col min="1" max="1" width="10" style="188" customWidth="1"/>
    <col min="2" max="16384" width="10.83203125" style="188"/>
  </cols>
  <sheetData>
    <row r="1" spans="1:11" ht="39" customHeight="1">
      <c r="A1" s="373" t="s">
        <v>97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</row>
    <row r="2" spans="1:11" s="189" customFormat="1" ht="39" customHeight="1">
      <c r="A2" s="374" t="str">
        <f>+ROUND(B29,0)&amp;""""&amp;" "&amp;E29&amp;" Aspect Ratio"</f>
        <v>100" 1.78 Aspect Ratio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</row>
    <row r="3" spans="1:11">
      <c r="A3" s="190"/>
      <c r="B3" s="190"/>
      <c r="C3" s="190"/>
      <c r="D3" s="190"/>
      <c r="E3" s="190"/>
      <c r="F3" s="190"/>
      <c r="G3" s="190"/>
      <c r="H3" s="190"/>
      <c r="I3" s="190"/>
      <c r="J3" s="190"/>
      <c r="K3" s="190"/>
    </row>
    <row r="4" spans="1:11">
      <c r="A4" s="190"/>
      <c r="B4" s="191"/>
      <c r="C4" s="191"/>
      <c r="D4" s="191"/>
      <c r="E4" s="191"/>
      <c r="F4" s="191"/>
      <c r="G4" s="191"/>
      <c r="H4" s="191"/>
      <c r="I4" s="191"/>
      <c r="J4" s="190"/>
      <c r="K4" s="190"/>
    </row>
    <row r="5" spans="1:11">
      <c r="A5" s="190"/>
      <c r="B5" s="191"/>
      <c r="C5" s="191"/>
      <c r="D5" s="191"/>
      <c r="E5" s="191"/>
      <c r="F5" s="191"/>
      <c r="G5" s="191"/>
      <c r="H5" s="191"/>
      <c r="I5" s="191"/>
      <c r="J5" s="190"/>
      <c r="K5" s="190"/>
    </row>
    <row r="6" spans="1:11">
      <c r="A6" s="190"/>
      <c r="B6" s="191"/>
      <c r="C6" s="191"/>
      <c r="D6" s="191"/>
      <c r="E6" s="191"/>
      <c r="F6" s="191"/>
      <c r="G6" s="191"/>
      <c r="H6" s="191"/>
      <c r="I6" s="191"/>
      <c r="J6" s="190"/>
      <c r="K6" s="190"/>
    </row>
    <row r="7" spans="1:11">
      <c r="A7" s="190"/>
      <c r="D7" s="190"/>
      <c r="E7" s="190"/>
      <c r="F7" s="190"/>
      <c r="G7" s="190"/>
      <c r="J7" s="190"/>
      <c r="K7" s="190"/>
    </row>
    <row r="8" spans="1:11">
      <c r="A8" s="190"/>
      <c r="D8" s="190"/>
      <c r="F8" s="192">
        <f>+C29</f>
        <v>2540</v>
      </c>
      <c r="G8" s="190"/>
      <c r="J8" s="190"/>
      <c r="K8" s="190"/>
    </row>
    <row r="9" spans="1:11">
      <c r="A9" s="190"/>
      <c r="F9" s="193">
        <f>+F8/$E$34</f>
        <v>100</v>
      </c>
      <c r="G9" s="190"/>
      <c r="J9" s="190"/>
      <c r="K9" s="190"/>
    </row>
    <row r="10" spans="1:11">
      <c r="A10" s="190"/>
      <c r="D10" s="190"/>
      <c r="E10" s="190"/>
      <c r="F10" s="190"/>
      <c r="G10" s="190"/>
      <c r="J10" s="190"/>
      <c r="K10" s="190"/>
    </row>
    <row r="11" spans="1:11">
      <c r="A11" s="190"/>
      <c r="D11" s="192">
        <f>+C30</f>
        <v>1426.9662921348315</v>
      </c>
      <c r="E11" s="190"/>
      <c r="G11" s="190"/>
      <c r="K11" s="190"/>
    </row>
    <row r="12" spans="1:11">
      <c r="A12" s="190"/>
      <c r="D12" s="194">
        <f>+D11/$E$34</f>
        <v>56.17977528089888</v>
      </c>
      <c r="E12" s="190"/>
      <c r="F12" s="195"/>
      <c r="G12" s="190"/>
      <c r="J12" s="190"/>
      <c r="K12" s="190"/>
    </row>
    <row r="13" spans="1:11">
      <c r="A13" s="190"/>
      <c r="D13" s="190"/>
      <c r="E13" s="190"/>
      <c r="F13" s="190"/>
      <c r="G13" s="190"/>
      <c r="H13" s="196">
        <f>+E31</f>
        <v>1058.3333333333335</v>
      </c>
      <c r="J13" s="197">
        <f>+C32</f>
        <v>1654.9662921348315</v>
      </c>
      <c r="K13" s="190"/>
    </row>
    <row r="14" spans="1:11">
      <c r="A14" s="190"/>
      <c r="D14" s="190"/>
      <c r="E14" s="190"/>
      <c r="F14" s="192">
        <f>+C33</f>
        <v>2913.3885423830839</v>
      </c>
      <c r="G14" s="190"/>
      <c r="H14" s="194">
        <f>+H13/E34</f>
        <v>41.666666666666679</v>
      </c>
      <c r="J14" s="193">
        <f>+J13/$E$34</f>
        <v>65.156153233654791</v>
      </c>
      <c r="K14" s="190"/>
    </row>
    <row r="15" spans="1:11">
      <c r="A15" s="190"/>
      <c r="D15" s="190"/>
      <c r="E15" s="190"/>
      <c r="F15" s="194">
        <f>+F14/$E$34</f>
        <v>114.70033631429465</v>
      </c>
      <c r="G15" s="190"/>
      <c r="J15" s="190"/>
      <c r="K15" s="190"/>
    </row>
    <row r="16" spans="1:11">
      <c r="A16" s="190"/>
      <c r="D16" s="190"/>
      <c r="E16" s="190"/>
      <c r="F16" s="190"/>
      <c r="G16" s="190"/>
      <c r="J16" s="190"/>
      <c r="K16" s="190"/>
    </row>
    <row r="17" spans="1:14">
      <c r="A17" s="190"/>
      <c r="D17" s="190"/>
      <c r="E17" s="190"/>
      <c r="F17" s="190"/>
      <c r="G17" s="190"/>
      <c r="J17" s="190"/>
      <c r="K17" s="190"/>
    </row>
    <row r="18" spans="1:14">
      <c r="A18" s="190"/>
      <c r="D18" s="190"/>
      <c r="E18" s="190"/>
      <c r="F18" s="190"/>
      <c r="G18" s="190"/>
      <c r="J18" s="190"/>
      <c r="K18" s="190"/>
    </row>
    <row r="19" spans="1:14">
      <c r="A19" s="190"/>
      <c r="D19" s="190"/>
      <c r="E19" s="198"/>
      <c r="F19" s="190"/>
      <c r="G19" s="190"/>
      <c r="J19" s="190"/>
      <c r="K19" s="190"/>
    </row>
    <row r="20" spans="1:14">
      <c r="A20" s="190"/>
      <c r="D20" s="190"/>
      <c r="E20" s="199"/>
      <c r="F20" s="190"/>
      <c r="G20" s="190"/>
      <c r="J20" s="190"/>
      <c r="K20" s="190"/>
    </row>
    <row r="21" spans="1:14">
      <c r="A21" s="190"/>
      <c r="B21" s="191"/>
      <c r="C21" s="191"/>
      <c r="D21" s="191"/>
      <c r="E21" s="191"/>
      <c r="F21" s="191"/>
      <c r="G21" s="191"/>
      <c r="H21" s="191"/>
      <c r="I21" s="191"/>
      <c r="J21" s="190"/>
      <c r="K21" s="190"/>
    </row>
    <row r="22" spans="1:14">
      <c r="A22" s="190"/>
      <c r="B22" s="191"/>
      <c r="C22" s="191"/>
      <c r="D22" s="191"/>
      <c r="E22" s="191"/>
      <c r="F22" s="191"/>
      <c r="G22" s="191"/>
      <c r="H22" s="191"/>
      <c r="I22" s="191"/>
      <c r="J22" s="190"/>
      <c r="K22" s="190"/>
    </row>
    <row r="23" spans="1:14">
      <c r="A23" s="190"/>
      <c r="B23" s="191"/>
      <c r="C23" s="191"/>
      <c r="D23" s="191"/>
      <c r="E23" s="191"/>
      <c r="F23" s="191"/>
      <c r="G23" s="191"/>
      <c r="H23" s="191"/>
      <c r="I23" s="191"/>
      <c r="J23" s="190"/>
      <c r="K23" s="190"/>
    </row>
    <row r="24" spans="1:14">
      <c r="A24" s="190"/>
      <c r="B24" s="190"/>
      <c r="C24" s="190"/>
      <c r="D24" s="190"/>
      <c r="E24" s="190"/>
      <c r="F24" s="190"/>
      <c r="G24" s="190"/>
      <c r="H24" s="190"/>
      <c r="I24" s="190"/>
      <c r="J24" s="190"/>
      <c r="K24" s="190"/>
    </row>
    <row r="25" spans="1:14">
      <c r="A25" s="190"/>
      <c r="B25" s="190"/>
      <c r="C25" s="190"/>
      <c r="D25" s="190"/>
      <c r="E25" s="190"/>
      <c r="F25" s="190"/>
      <c r="G25" s="190"/>
      <c r="H25" s="190"/>
      <c r="I25" s="190"/>
      <c r="J25" s="190"/>
      <c r="K25" s="192">
        <f>+C34</f>
        <v>145</v>
      </c>
    </row>
    <row r="26" spans="1:14">
      <c r="A26" s="190"/>
      <c r="B26" s="190"/>
      <c r="C26" s="190"/>
      <c r="D26" s="190"/>
      <c r="E26" s="200">
        <f>+C31</f>
        <v>2728</v>
      </c>
      <c r="F26" s="190"/>
      <c r="G26" s="190"/>
      <c r="H26" s="190"/>
      <c r="I26" s="190"/>
      <c r="J26" s="190"/>
      <c r="K26" s="194">
        <f>+K25/$E$34</f>
        <v>5.7086614173228352</v>
      </c>
    </row>
    <row r="27" spans="1:14" ht="17" thickBot="1">
      <c r="A27" s="190"/>
      <c r="B27" s="190"/>
      <c r="C27" s="190"/>
      <c r="D27" s="190"/>
      <c r="E27" s="194">
        <f>+E26/$E$34</f>
        <v>107.40157480314961</v>
      </c>
      <c r="F27" s="190"/>
      <c r="G27" s="190"/>
      <c r="H27" s="190"/>
      <c r="I27" s="190"/>
      <c r="J27" s="190"/>
    </row>
    <row r="28" spans="1:14">
      <c r="A28" s="201"/>
      <c r="B28" s="202" t="s">
        <v>5</v>
      </c>
      <c r="C28" s="203" t="s">
        <v>6</v>
      </c>
      <c r="D28" s="204" t="s">
        <v>7</v>
      </c>
      <c r="E28" s="375" t="s">
        <v>87</v>
      </c>
      <c r="F28" s="376"/>
      <c r="G28" s="204" t="s">
        <v>8</v>
      </c>
      <c r="H28" s="377">
        <f ca="1">NOW()</f>
        <v>43377.415750578701</v>
      </c>
      <c r="I28" s="377"/>
      <c r="J28" s="377"/>
      <c r="K28" s="378"/>
    </row>
    <row r="29" spans="1:14">
      <c r="A29" s="205" t="s">
        <v>9</v>
      </c>
      <c r="B29" s="206">
        <f t="shared" ref="B29:B34" si="0">+C29/$E$34</f>
        <v>100</v>
      </c>
      <c r="C29" s="207">
        <v>2540</v>
      </c>
      <c r="D29" s="208" t="s">
        <v>10</v>
      </c>
      <c r="E29" s="379">
        <v>1.78</v>
      </c>
      <c r="F29" s="380"/>
      <c r="G29" s="209" t="s">
        <v>11</v>
      </c>
      <c r="H29" s="381"/>
      <c r="I29" s="381"/>
      <c r="J29" s="381"/>
      <c r="K29" s="382"/>
      <c r="N29" s="210"/>
    </row>
    <row r="30" spans="1:14">
      <c r="A30" s="211" t="s">
        <v>12</v>
      </c>
      <c r="B30" s="206">
        <f t="shared" si="0"/>
        <v>56.17977528089888</v>
      </c>
      <c r="C30" s="212">
        <f>+C29/E29</f>
        <v>1426.9662921348315</v>
      </c>
      <c r="D30" s="209" t="s">
        <v>13</v>
      </c>
      <c r="E30" s="368">
        <v>2.4</v>
      </c>
      <c r="F30" s="369"/>
      <c r="G30" s="209" t="s">
        <v>15</v>
      </c>
      <c r="H30" s="370"/>
      <c r="I30" s="371"/>
      <c r="J30" s="371"/>
      <c r="K30" s="372"/>
    </row>
    <row r="31" spans="1:14">
      <c r="A31" s="211" t="s">
        <v>16</v>
      </c>
      <c r="B31" s="206">
        <f t="shared" si="0"/>
        <v>107.40157480314961</v>
      </c>
      <c r="C31" s="213">
        <f>+C29+(2*E33)</f>
        <v>2728</v>
      </c>
      <c r="D31" s="209" t="s">
        <v>88</v>
      </c>
      <c r="E31" s="214">
        <f>+C29/E30</f>
        <v>1058.3333333333335</v>
      </c>
      <c r="F31" s="215" t="s">
        <v>18</v>
      </c>
      <c r="G31" s="190"/>
      <c r="H31" s="190"/>
      <c r="I31" s="190"/>
      <c r="J31" s="190"/>
      <c r="K31" s="216"/>
    </row>
    <row r="32" spans="1:14">
      <c r="A32" s="211" t="s">
        <v>19</v>
      </c>
      <c r="B32" s="206">
        <f t="shared" si="0"/>
        <v>65.156153233654791</v>
      </c>
      <c r="C32" s="213">
        <f>IF(C29&gt;3558, C30+(2*E33), C30+(2*E33)+40)</f>
        <v>1654.9662921348315</v>
      </c>
      <c r="D32" s="217" t="s">
        <v>20</v>
      </c>
      <c r="E32" s="218" t="s">
        <v>72</v>
      </c>
      <c r="F32" s="219"/>
      <c r="G32" s="220"/>
      <c r="H32" s="220"/>
      <c r="I32" s="220"/>
      <c r="J32" s="220"/>
      <c r="K32" s="221"/>
    </row>
    <row r="33" spans="1:11">
      <c r="A33" s="211" t="s">
        <v>21</v>
      </c>
      <c r="B33" s="206">
        <f t="shared" si="0"/>
        <v>114.70033631429465</v>
      </c>
      <c r="C33" s="213">
        <f>SQRT((C29^2)+(C30^2))</f>
        <v>2913.3885423830839</v>
      </c>
      <c r="D33" s="217" t="s">
        <v>22</v>
      </c>
      <c r="E33" s="222">
        <f>IF(C29&gt;3558, 200, 94)</f>
        <v>94</v>
      </c>
      <c r="F33" s="219"/>
      <c r="G33" s="220"/>
      <c r="H33" s="220"/>
      <c r="I33" s="220"/>
      <c r="J33" s="220"/>
      <c r="K33" s="221"/>
    </row>
    <row r="34" spans="1:11" ht="17" thickBot="1">
      <c r="A34" s="223" t="s">
        <v>23</v>
      </c>
      <c r="B34" s="224">
        <f t="shared" si="0"/>
        <v>5.7086614173228352</v>
      </c>
      <c r="C34" s="225">
        <f>IF(C29&gt;3558, 200, 145)</f>
        <v>145</v>
      </c>
      <c r="D34" s="226" t="s">
        <v>24</v>
      </c>
      <c r="E34" s="227">
        <v>25.4</v>
      </c>
      <c r="F34" s="228"/>
      <c r="G34" s="228"/>
      <c r="H34" s="228"/>
      <c r="I34" s="228"/>
      <c r="J34" s="228"/>
      <c r="K34" s="229" t="s">
        <v>59</v>
      </c>
    </row>
    <row r="36" spans="1:11">
      <c r="B36" s="230" t="s">
        <v>89</v>
      </c>
      <c r="C36" s="230"/>
      <c r="D36" s="230"/>
      <c r="E36" s="230"/>
      <c r="F36" s="230"/>
      <c r="G36" s="230"/>
      <c r="H36" s="230"/>
      <c r="I36" s="230"/>
      <c r="J36" s="230"/>
      <c r="K36" s="230"/>
    </row>
    <row r="37" spans="1:11">
      <c r="B37" s="231" t="s">
        <v>90</v>
      </c>
      <c r="C37" s="232" t="s">
        <v>91</v>
      </c>
      <c r="D37" s="231" t="s">
        <v>92</v>
      </c>
      <c r="E37" s="232" t="s">
        <v>93</v>
      </c>
      <c r="F37" s="232" t="s">
        <v>94</v>
      </c>
    </row>
    <row r="38" spans="1:11">
      <c r="B38" s="233">
        <f>E30</f>
        <v>2.4</v>
      </c>
      <c r="C38" s="234">
        <f>+D38/B38</f>
        <v>1058.3333333333335</v>
      </c>
      <c r="D38" s="234">
        <f>+$F$8</f>
        <v>2540</v>
      </c>
      <c r="E38" s="235">
        <f>+$C$30-C38</f>
        <v>368.63295880149803</v>
      </c>
      <c r="F38" s="236">
        <f>E38/D38</f>
        <v>0.14513108614232206</v>
      </c>
    </row>
    <row r="39" spans="1:11">
      <c r="B39" s="233">
        <v>1.85</v>
      </c>
      <c r="C39" s="234">
        <f>+D39/B39</f>
        <v>1372.9729729729729</v>
      </c>
      <c r="D39" s="234">
        <f>+$F$8</f>
        <v>2540</v>
      </c>
      <c r="E39" s="235">
        <f>+$C$30-C39</f>
        <v>53.993319161858608</v>
      </c>
      <c r="F39" s="236">
        <f>E39/D39</f>
        <v>2.1257212268448272E-2</v>
      </c>
    </row>
    <row r="40" spans="1:11">
      <c r="B40" s="233">
        <v>1.78</v>
      </c>
      <c r="C40" s="234">
        <f>+D40/B40</f>
        <v>1426.9662921348315</v>
      </c>
      <c r="D40" s="234">
        <f>+$F$8</f>
        <v>2540</v>
      </c>
      <c r="E40" s="235">
        <f>+$C$30-C40</f>
        <v>0</v>
      </c>
      <c r="F40" s="236">
        <f>E40/D40</f>
        <v>0</v>
      </c>
      <c r="G40" s="303" t="s">
        <v>98</v>
      </c>
    </row>
    <row r="41" spans="1:11">
      <c r="B41" s="237"/>
      <c r="C41" s="238"/>
      <c r="D41" s="238"/>
      <c r="E41" s="239"/>
      <c r="F41" s="239"/>
      <c r="G41" s="240"/>
    </row>
    <row r="42" spans="1:11" ht="16" customHeight="1">
      <c r="B42" s="241" t="s">
        <v>26</v>
      </c>
      <c r="C42" s="242"/>
      <c r="D42" s="243"/>
      <c r="E42" s="243"/>
      <c r="F42" s="242"/>
      <c r="G42" s="242"/>
      <c r="H42" s="242"/>
      <c r="I42" s="242"/>
      <c r="J42" s="242"/>
      <c r="K42" s="242"/>
    </row>
    <row r="43" spans="1:11" ht="7" customHeight="1">
      <c r="B43" s="244"/>
      <c r="C43" s="190"/>
      <c r="D43" s="220"/>
      <c r="E43" s="220"/>
      <c r="F43" s="190"/>
    </row>
    <row r="44" spans="1:11" ht="16" customHeight="1">
      <c r="B44" s="245" t="s">
        <v>47</v>
      </c>
      <c r="D44" s="367" t="s">
        <v>27</v>
      </c>
      <c r="E44" s="367"/>
      <c r="F44" s="246" t="s">
        <v>5</v>
      </c>
      <c r="G44" s="246" t="s">
        <v>6</v>
      </c>
    </row>
    <row r="45" spans="1:11" ht="16" customHeight="1">
      <c r="B45" s="188" t="s">
        <v>48</v>
      </c>
      <c r="D45" s="247" t="s">
        <v>28</v>
      </c>
      <c r="E45" s="248" t="s">
        <v>29</v>
      </c>
      <c r="F45" s="249">
        <v>106</v>
      </c>
      <c r="G45" s="250">
        <f>F45*25.4</f>
        <v>2692.3999999999996</v>
      </c>
    </row>
    <row r="46" spans="1:11" ht="16" customHeight="1">
      <c r="A46" s="251"/>
      <c r="B46" s="251" t="s">
        <v>127</v>
      </c>
      <c r="C46" s="251"/>
      <c r="D46" s="252" t="s">
        <v>28</v>
      </c>
      <c r="E46" s="253">
        <v>1.78</v>
      </c>
      <c r="F46" s="254">
        <v>130</v>
      </c>
      <c r="G46" s="254">
        <v>4064</v>
      </c>
      <c r="H46" s="251"/>
      <c r="I46" s="251"/>
      <c r="J46" s="251"/>
      <c r="K46" s="251"/>
    </row>
    <row r="47" spans="1:11" ht="16" customHeight="1">
      <c r="B47" s="3" t="s">
        <v>141</v>
      </c>
      <c r="D47" s="247" t="s">
        <v>28</v>
      </c>
      <c r="E47" s="248" t="s">
        <v>29</v>
      </c>
      <c r="F47" s="249">
        <v>200</v>
      </c>
      <c r="G47" s="249">
        <f>F47*25.4</f>
        <v>5080</v>
      </c>
      <c r="H47" s="190" t="s">
        <v>32</v>
      </c>
    </row>
    <row r="49" spans="2:11">
      <c r="B49" s="230" t="s">
        <v>33</v>
      </c>
      <c r="C49" s="242"/>
      <c r="D49" s="242"/>
      <c r="E49" s="242"/>
      <c r="F49" s="242"/>
      <c r="G49" s="242"/>
      <c r="H49" s="242"/>
      <c r="I49" s="242"/>
      <c r="J49" s="242"/>
      <c r="K49" s="242"/>
    </row>
    <row r="50" spans="2:11">
      <c r="B50" s="255" t="s">
        <v>99</v>
      </c>
      <c r="C50" s="255"/>
      <c r="D50" s="255"/>
      <c r="E50" s="255"/>
      <c r="F50" s="255"/>
      <c r="G50" s="255"/>
      <c r="H50" s="255"/>
      <c r="I50" s="255"/>
      <c r="J50" s="255"/>
      <c r="K50" s="255"/>
    </row>
    <row r="51" spans="2:11">
      <c r="B51" s="255"/>
      <c r="C51" s="255"/>
      <c r="D51" s="255"/>
      <c r="E51" s="255"/>
      <c r="F51" s="255"/>
      <c r="G51" s="255"/>
      <c r="H51" s="255"/>
      <c r="I51" s="255"/>
      <c r="J51" s="255"/>
      <c r="K51" s="255"/>
    </row>
    <row r="52" spans="2:11">
      <c r="B52" s="230" t="s">
        <v>61</v>
      </c>
      <c r="C52" s="242"/>
      <c r="D52" s="242"/>
      <c r="E52" s="242"/>
      <c r="F52" s="242"/>
      <c r="G52" s="242"/>
      <c r="H52" s="242"/>
      <c r="I52" s="242"/>
      <c r="J52" s="242"/>
      <c r="K52" s="242"/>
    </row>
    <row r="53" spans="2:11">
      <c r="B53" s="1" t="s">
        <v>143</v>
      </c>
    </row>
    <row r="54" spans="2:11">
      <c r="B54" s="188" t="s">
        <v>96</v>
      </c>
    </row>
    <row r="55" spans="2:11">
      <c r="B55" s="1" t="s">
        <v>144</v>
      </c>
    </row>
    <row r="56" spans="2:11">
      <c r="B56" s="238">
        <f>+(C31)+100</f>
        <v>2828</v>
      </c>
      <c r="C56" s="188" t="s">
        <v>41</v>
      </c>
    </row>
    <row r="57" spans="2:11">
      <c r="B57" s="238">
        <f>(C32/2)+100</f>
        <v>927.48314606741576</v>
      </c>
      <c r="C57" s="188" t="s">
        <v>42</v>
      </c>
    </row>
    <row r="58" spans="2:11">
      <c r="B58" s="238">
        <v>700</v>
      </c>
      <c r="C58" s="188" t="s">
        <v>43</v>
      </c>
    </row>
    <row r="59" spans="2:11">
      <c r="B59" s="237"/>
    </row>
  </sheetData>
  <mergeCells count="9">
    <mergeCell ref="D44:E44"/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69" orientation="portrait" horizontalDpi="4294967292" verticalDpi="4294967292" r:id="rId1"/>
  <headerFooter>
    <oddHeader>&amp;C&amp;"Calibri,Bold"&amp;14&amp;K000000Screen Excellence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61"/>
  <sheetViews>
    <sheetView showGridLines="0" zoomScaleNormal="100" workbookViewId="0">
      <selection activeCell="J46" sqref="J46"/>
    </sheetView>
  </sheetViews>
  <sheetFormatPr baseColWidth="10" defaultColWidth="10.83203125" defaultRowHeight="16"/>
  <cols>
    <col min="1" max="1" width="10" style="1" customWidth="1"/>
    <col min="2" max="16384" width="10.83203125" style="1"/>
  </cols>
  <sheetData>
    <row r="1" spans="1:11" ht="39" customHeight="1">
      <c r="A1" s="326" t="s">
        <v>100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s="2" customFormat="1" ht="39" customHeight="1">
      <c r="A2" s="327" t="str">
        <f>+ROUND(B29,0)&amp;""""&amp;" "&amp;E29&amp;" Aspect Ratio"</f>
        <v>100" 2.4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1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>
      <c r="A4" s="3"/>
      <c r="B4" s="75"/>
      <c r="C4" s="75"/>
      <c r="D4" s="3"/>
      <c r="E4" s="3"/>
      <c r="F4" s="3"/>
      <c r="G4" s="3"/>
      <c r="H4" s="75"/>
      <c r="I4" s="75"/>
      <c r="J4" s="3"/>
      <c r="K4" s="3"/>
    </row>
    <row r="5" spans="1:11">
      <c r="A5" s="3"/>
      <c r="B5" s="75"/>
      <c r="C5" s="75"/>
      <c r="D5" s="3"/>
      <c r="E5" s="186">
        <f>+C29</f>
        <v>2540</v>
      </c>
      <c r="F5" s="3"/>
      <c r="G5" s="3"/>
      <c r="H5" s="75"/>
      <c r="I5" s="75"/>
      <c r="J5" s="3"/>
      <c r="K5" s="3"/>
    </row>
    <row r="6" spans="1:11">
      <c r="A6" s="3"/>
      <c r="B6" s="75"/>
      <c r="C6" s="75"/>
      <c r="D6" s="3"/>
      <c r="E6" s="4">
        <f>+E5/$E$34</f>
        <v>100</v>
      </c>
      <c r="G6" s="3"/>
      <c r="H6" s="75"/>
      <c r="I6" s="75"/>
      <c r="J6" s="3"/>
      <c r="K6" s="3"/>
    </row>
    <row r="7" spans="1:11">
      <c r="A7" s="3"/>
      <c r="B7" s="75"/>
      <c r="C7" s="75"/>
      <c r="D7" s="3"/>
      <c r="E7" s="3"/>
      <c r="F7" s="3"/>
      <c r="G7" s="3"/>
      <c r="H7" s="75"/>
      <c r="I7" s="75"/>
      <c r="J7" s="3"/>
      <c r="K7" s="3"/>
    </row>
    <row r="8" spans="1:11">
      <c r="A8" s="3"/>
      <c r="B8" s="75"/>
      <c r="C8" s="75"/>
      <c r="D8" s="3"/>
      <c r="E8" s="3"/>
      <c r="F8" s="3"/>
      <c r="G8" s="3"/>
      <c r="H8" s="75"/>
      <c r="I8" s="75"/>
      <c r="J8" s="3"/>
      <c r="K8" s="3"/>
    </row>
    <row r="9" spans="1:11">
      <c r="A9" s="3"/>
      <c r="B9" s="75"/>
      <c r="C9" s="75"/>
      <c r="E9" s="3"/>
      <c r="F9" s="3"/>
      <c r="G9" s="3"/>
      <c r="H9" s="75"/>
      <c r="I9" s="75"/>
      <c r="J9" s="3"/>
      <c r="K9" s="3"/>
    </row>
    <row r="10" spans="1:11">
      <c r="A10" s="3"/>
      <c r="B10" s="75"/>
      <c r="C10" s="75"/>
      <c r="D10" s="3"/>
      <c r="E10" s="3"/>
      <c r="F10" s="3"/>
      <c r="G10" s="3"/>
      <c r="H10" s="75"/>
      <c r="I10" s="75"/>
      <c r="J10" s="3"/>
      <c r="K10" s="3"/>
    </row>
    <row r="11" spans="1:11">
      <c r="A11" s="3"/>
      <c r="B11" s="75"/>
      <c r="C11" s="75"/>
      <c r="D11" s="84">
        <f>+C30</f>
        <v>1058.3333333333335</v>
      </c>
      <c r="E11" s="3"/>
      <c r="G11" s="3"/>
      <c r="H11" s="75"/>
      <c r="I11" s="75"/>
      <c r="K11" s="3"/>
    </row>
    <row r="12" spans="1:11">
      <c r="A12" s="3"/>
      <c r="B12" s="75"/>
      <c r="C12" s="75"/>
      <c r="D12" s="85">
        <f>+D11/$E$34</f>
        <v>41.666666666666679</v>
      </c>
      <c r="E12" s="3"/>
      <c r="F12" s="5"/>
      <c r="G12" s="3"/>
      <c r="H12" s="75"/>
      <c r="I12" s="75"/>
      <c r="J12" s="3"/>
      <c r="K12" s="3"/>
    </row>
    <row r="13" spans="1:11">
      <c r="A13" s="3"/>
      <c r="B13" s="75"/>
      <c r="C13" s="75"/>
      <c r="D13" s="3"/>
      <c r="E13" s="3"/>
      <c r="F13" s="3"/>
      <c r="G13" s="3"/>
      <c r="H13" s="75"/>
      <c r="I13" s="75"/>
      <c r="J13" s="6">
        <f>+C32</f>
        <v>1246.3333333333335</v>
      </c>
      <c r="K13" s="3"/>
    </row>
    <row r="14" spans="1:11">
      <c r="A14" s="3"/>
      <c r="B14" s="75"/>
      <c r="C14" s="75"/>
      <c r="D14" s="3"/>
      <c r="E14" s="3"/>
      <c r="F14" s="186">
        <f>+C33</f>
        <v>2751.666666666667</v>
      </c>
      <c r="G14" s="3"/>
      <c r="H14" s="75"/>
      <c r="I14" s="75"/>
      <c r="J14" s="4">
        <f>+J13/$E$34</f>
        <v>49.068241469816279</v>
      </c>
      <c r="K14" s="3"/>
    </row>
    <row r="15" spans="1:11">
      <c r="A15" s="3"/>
      <c r="B15" s="75"/>
      <c r="C15" s="75"/>
      <c r="D15" s="3"/>
      <c r="E15" s="3"/>
      <c r="F15" s="185">
        <f>+F14/$E$34</f>
        <v>108.33333333333336</v>
      </c>
      <c r="G15" s="3"/>
      <c r="H15" s="75"/>
      <c r="I15" s="75"/>
      <c r="J15" s="3"/>
      <c r="K15" s="3"/>
    </row>
    <row r="16" spans="1:11">
      <c r="A16" s="3"/>
      <c r="B16" s="75"/>
      <c r="C16" s="75"/>
      <c r="D16" s="3"/>
      <c r="E16" s="3"/>
      <c r="F16" s="3"/>
      <c r="G16" s="3"/>
      <c r="H16" s="75"/>
      <c r="I16" s="75"/>
      <c r="J16" s="3"/>
      <c r="K16" s="3"/>
    </row>
    <row r="17" spans="1:11">
      <c r="A17" s="3"/>
      <c r="B17" s="75"/>
      <c r="C17" s="75"/>
      <c r="D17" s="3"/>
      <c r="E17" s="3"/>
      <c r="F17" s="3"/>
      <c r="G17" s="3"/>
      <c r="H17" s="75"/>
      <c r="I17" s="75"/>
      <c r="J17" s="3"/>
      <c r="K17" s="3"/>
    </row>
    <row r="18" spans="1:11">
      <c r="A18" s="3"/>
      <c r="B18" s="75"/>
      <c r="C18" s="75"/>
      <c r="D18" s="3"/>
      <c r="E18" s="3"/>
      <c r="F18" s="3"/>
      <c r="G18" s="3"/>
      <c r="H18" s="75"/>
      <c r="I18" s="75"/>
      <c r="J18" s="3"/>
      <c r="K18" s="3"/>
    </row>
    <row r="19" spans="1:11">
      <c r="A19" s="3"/>
      <c r="B19" s="75"/>
      <c r="C19" s="75"/>
      <c r="D19" s="3"/>
      <c r="E19" s="3"/>
      <c r="F19" s="3"/>
      <c r="G19" s="3"/>
      <c r="H19" s="75"/>
      <c r="I19" s="75"/>
      <c r="J19" s="3"/>
      <c r="K19" s="3"/>
    </row>
    <row r="20" spans="1:11">
      <c r="A20" s="3"/>
      <c r="B20" s="75"/>
      <c r="C20" s="75"/>
      <c r="D20" s="3"/>
      <c r="E20" s="3"/>
      <c r="F20" s="3"/>
      <c r="G20" s="3"/>
      <c r="H20" s="75"/>
      <c r="I20" s="75"/>
      <c r="J20" s="3"/>
      <c r="K20" s="3"/>
    </row>
    <row r="21" spans="1:11">
      <c r="A21" s="3"/>
      <c r="B21" s="75"/>
      <c r="C21" s="75"/>
      <c r="D21" s="3"/>
      <c r="E21" s="6">
        <f>+E31</f>
        <v>1407.5833333333337</v>
      </c>
      <c r="F21" s="3"/>
      <c r="G21" s="3"/>
      <c r="H21" s="75"/>
      <c r="I21" s="75"/>
      <c r="J21" s="3"/>
      <c r="K21" s="3"/>
    </row>
    <row r="22" spans="1:11">
      <c r="A22" s="3"/>
      <c r="B22" s="75"/>
      <c r="C22" s="75"/>
      <c r="D22" s="3"/>
      <c r="E22" s="42">
        <f>+E21/$E$34</f>
        <v>55.416666666666686</v>
      </c>
      <c r="F22" s="3"/>
      <c r="G22" s="3"/>
      <c r="H22" s="75"/>
      <c r="I22" s="75"/>
      <c r="J22" s="3"/>
      <c r="K22" s="3"/>
    </row>
    <row r="23" spans="1:11">
      <c r="A23" s="3"/>
      <c r="B23" s="75"/>
      <c r="C23" s="75"/>
      <c r="D23" s="3"/>
      <c r="E23" s="3"/>
      <c r="F23" s="3"/>
      <c r="G23" s="3"/>
      <c r="H23" s="75"/>
      <c r="I23" s="75"/>
      <c r="J23" s="3"/>
      <c r="K23" s="3"/>
    </row>
    <row r="24" spans="1:1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>
      <c r="A25" s="3"/>
      <c r="B25" s="3"/>
      <c r="C25" s="3"/>
      <c r="D25" s="3"/>
      <c r="E25" s="3"/>
      <c r="F25" s="3"/>
      <c r="G25" s="3"/>
      <c r="H25" s="3"/>
      <c r="I25" s="3"/>
      <c r="J25" s="3"/>
      <c r="K25" s="186">
        <f>+C34</f>
        <v>145</v>
      </c>
    </row>
    <row r="26" spans="1:11">
      <c r="A26" s="3"/>
      <c r="B26" s="3"/>
      <c r="C26" s="3"/>
      <c r="D26" s="3"/>
      <c r="E26" s="77">
        <f>+C31</f>
        <v>2768</v>
      </c>
      <c r="F26" s="3"/>
      <c r="G26" s="3"/>
      <c r="H26" s="3"/>
      <c r="I26" s="3"/>
      <c r="J26" s="3"/>
      <c r="K26" s="185">
        <f>+K25/$E$34</f>
        <v>5.7086614173228352</v>
      </c>
    </row>
    <row r="27" spans="1:11" ht="17" thickBot="1">
      <c r="A27" s="3"/>
      <c r="B27" s="3"/>
      <c r="C27" s="3"/>
      <c r="D27" s="3"/>
      <c r="E27" s="185">
        <f>+E26/$E$34</f>
        <v>108.97637795275591</v>
      </c>
      <c r="F27" s="3"/>
      <c r="G27" s="3"/>
      <c r="H27" s="3"/>
      <c r="I27" s="3"/>
      <c r="J27" s="3"/>
    </row>
    <row r="28" spans="1:11">
      <c r="A28" s="9"/>
      <c r="B28" s="10" t="s">
        <v>5</v>
      </c>
      <c r="C28" s="11" t="s">
        <v>6</v>
      </c>
      <c r="D28" s="12" t="s">
        <v>7</v>
      </c>
      <c r="E28" s="328" t="s">
        <v>87</v>
      </c>
      <c r="F28" s="329"/>
      <c r="G28" s="12" t="s">
        <v>8</v>
      </c>
      <c r="H28" s="330">
        <f ca="1">NOW()</f>
        <v>43377.415750578701</v>
      </c>
      <c r="I28" s="330"/>
      <c r="J28" s="330"/>
      <c r="K28" s="331"/>
    </row>
    <row r="29" spans="1:11">
      <c r="A29" s="136" t="s">
        <v>9</v>
      </c>
      <c r="B29" s="49">
        <f t="shared" ref="B29:B34" si="0">+C29/$E$34</f>
        <v>100</v>
      </c>
      <c r="C29" s="86">
        <v>2540</v>
      </c>
      <c r="D29" s="137" t="s">
        <v>10</v>
      </c>
      <c r="E29" s="332">
        <v>2.4</v>
      </c>
      <c r="F29" s="333"/>
      <c r="G29" s="16" t="s">
        <v>11</v>
      </c>
      <c r="H29" s="334"/>
      <c r="I29" s="334"/>
      <c r="J29" s="334"/>
      <c r="K29" s="335"/>
    </row>
    <row r="30" spans="1:11">
      <c r="A30" s="13" t="s">
        <v>12</v>
      </c>
      <c r="B30" s="49">
        <f t="shared" si="0"/>
        <v>41.666666666666679</v>
      </c>
      <c r="C30" s="17">
        <f>+C29/E29</f>
        <v>1058.3333333333335</v>
      </c>
      <c r="D30" s="16" t="s">
        <v>13</v>
      </c>
      <c r="E30" s="332">
        <v>1.33</v>
      </c>
      <c r="F30" s="333"/>
      <c r="G30" s="16" t="s">
        <v>15</v>
      </c>
      <c r="H30" s="323"/>
      <c r="I30" s="324"/>
      <c r="J30" s="324"/>
      <c r="K30" s="325"/>
    </row>
    <row r="31" spans="1:11">
      <c r="A31" s="13" t="s">
        <v>16</v>
      </c>
      <c r="B31" s="49">
        <f t="shared" si="0"/>
        <v>108.97637795275591</v>
      </c>
      <c r="C31" s="18">
        <f>+C29+(2*E33)+40</f>
        <v>2768</v>
      </c>
      <c r="D31" s="16" t="s">
        <v>101</v>
      </c>
      <c r="E31" s="53">
        <f>+C30*E30</f>
        <v>1407.5833333333337</v>
      </c>
      <c r="F31" s="20" t="s">
        <v>18</v>
      </c>
      <c r="G31" s="3"/>
      <c r="H31" s="3"/>
      <c r="I31" s="3"/>
      <c r="J31" s="3"/>
      <c r="K31" s="21"/>
    </row>
    <row r="32" spans="1:11">
      <c r="A32" s="13" t="s">
        <v>19</v>
      </c>
      <c r="B32" s="49">
        <f t="shared" si="0"/>
        <v>49.068241469816279</v>
      </c>
      <c r="C32" s="18">
        <f>+C30+(2*E33)</f>
        <v>1246.3333333333335</v>
      </c>
      <c r="D32" s="22" t="s">
        <v>20</v>
      </c>
      <c r="E32" s="78" t="s">
        <v>72</v>
      </c>
      <c r="F32" s="24"/>
      <c r="G32" s="25"/>
      <c r="H32" s="25"/>
      <c r="I32" s="25"/>
      <c r="J32" s="25"/>
      <c r="K32" s="26"/>
    </row>
    <row r="33" spans="1:11">
      <c r="A33" s="13" t="s">
        <v>21</v>
      </c>
      <c r="B33" s="49">
        <f t="shared" si="0"/>
        <v>108.33333333333336</v>
      </c>
      <c r="C33" s="18">
        <f>SQRT((C29^2)+(C30^2))</f>
        <v>2751.666666666667</v>
      </c>
      <c r="D33" s="22" t="s">
        <v>22</v>
      </c>
      <c r="E33" s="52">
        <v>94</v>
      </c>
      <c r="F33" s="24"/>
      <c r="G33" s="25"/>
      <c r="H33" s="25"/>
      <c r="I33" s="25"/>
      <c r="J33" s="25"/>
      <c r="K33" s="26"/>
    </row>
    <row r="34" spans="1:11" ht="17" thickBot="1">
      <c r="A34" s="28" t="s">
        <v>23</v>
      </c>
      <c r="B34" s="60">
        <f t="shared" si="0"/>
        <v>5.7086614173228352</v>
      </c>
      <c r="C34" s="74">
        <f>IF(C29&gt;5080,225,145)</f>
        <v>145</v>
      </c>
      <c r="D34" s="31" t="s">
        <v>24</v>
      </c>
      <c r="E34" s="63">
        <v>25.4</v>
      </c>
      <c r="F34" s="33"/>
      <c r="G34" s="33"/>
      <c r="H34" s="33"/>
      <c r="I34" s="33"/>
      <c r="J34" s="33"/>
      <c r="K34" s="72" t="s">
        <v>59</v>
      </c>
    </row>
    <row r="36" spans="1:11">
      <c r="B36" s="107" t="s">
        <v>89</v>
      </c>
      <c r="C36" s="107"/>
      <c r="D36" s="107"/>
      <c r="E36" s="107"/>
      <c r="F36" s="107"/>
      <c r="G36" s="107"/>
      <c r="H36" s="107"/>
      <c r="I36" s="107"/>
      <c r="J36" s="107"/>
      <c r="K36" s="107"/>
    </row>
    <row r="37" spans="1:11">
      <c r="B37" s="119" t="s">
        <v>90</v>
      </c>
      <c r="C37" s="184" t="s">
        <v>91</v>
      </c>
      <c r="D37" s="184" t="s">
        <v>92</v>
      </c>
      <c r="E37" s="184" t="s">
        <v>93</v>
      </c>
      <c r="F37" s="184" t="s">
        <v>94</v>
      </c>
    </row>
    <row r="38" spans="1:11">
      <c r="B38" s="118">
        <f>E29</f>
        <v>2.4</v>
      </c>
      <c r="C38" s="124">
        <f t="shared" ref="C38:C41" si="1">+$C$30</f>
        <v>1058.3333333333335</v>
      </c>
      <c r="D38" s="83">
        <f t="shared" ref="D38:D41" si="2">+C38*B38</f>
        <v>2540.0000000000005</v>
      </c>
      <c r="E38" s="83">
        <f>C29-D38</f>
        <v>0</v>
      </c>
      <c r="F38" s="125">
        <f>+D38/C29</f>
        <v>1.0000000000000002</v>
      </c>
    </row>
    <row r="39" spans="1:11">
      <c r="B39" s="118">
        <v>1.85</v>
      </c>
      <c r="C39" s="124">
        <f t="shared" si="1"/>
        <v>1058.3333333333335</v>
      </c>
      <c r="D39" s="83">
        <f t="shared" si="2"/>
        <v>1957.916666666667</v>
      </c>
      <c r="E39" s="83">
        <f>C29-D39</f>
        <v>582.08333333333303</v>
      </c>
      <c r="F39" s="125">
        <f>+D39/C29</f>
        <v>0.77083333333333348</v>
      </c>
    </row>
    <row r="40" spans="1:11">
      <c r="B40" s="118">
        <v>1.78</v>
      </c>
      <c r="C40" s="124">
        <f t="shared" si="1"/>
        <v>1058.3333333333335</v>
      </c>
      <c r="D40" s="83">
        <f t="shared" si="2"/>
        <v>1883.8333333333337</v>
      </c>
      <c r="E40" s="83">
        <f>C29-D40</f>
        <v>656.16666666666629</v>
      </c>
      <c r="F40" s="125">
        <f>+D40/C29</f>
        <v>0.74166666666666681</v>
      </c>
    </row>
    <row r="41" spans="1:11">
      <c r="B41" s="118">
        <v>1.33</v>
      </c>
      <c r="C41" s="124">
        <f t="shared" si="1"/>
        <v>1058.3333333333335</v>
      </c>
      <c r="D41" s="83">
        <f t="shared" si="2"/>
        <v>1407.5833333333337</v>
      </c>
      <c r="E41" s="83">
        <f>C29-D41</f>
        <v>1132.4166666666663</v>
      </c>
      <c r="F41" s="125">
        <f>+D41/C29</f>
        <v>0.55416666666666681</v>
      </c>
      <c r="G41" s="303" t="s">
        <v>98</v>
      </c>
    </row>
    <row r="42" spans="1:11">
      <c r="B42" s="37"/>
      <c r="C42" s="36"/>
      <c r="D42" s="36"/>
      <c r="E42" s="79"/>
      <c r="F42" s="79"/>
      <c r="G42" s="80"/>
    </row>
    <row r="43" spans="1:11" ht="16" customHeight="1">
      <c r="B43" s="112" t="s">
        <v>26</v>
      </c>
      <c r="C43" s="115"/>
      <c r="D43" s="120"/>
      <c r="E43" s="120"/>
      <c r="F43" s="115"/>
      <c r="G43" s="115"/>
      <c r="H43" s="115"/>
      <c r="I43" s="115"/>
      <c r="J43" s="115"/>
      <c r="K43" s="115"/>
    </row>
    <row r="44" spans="1:11" ht="7" customHeight="1">
      <c r="B44" s="113"/>
      <c r="C44" s="3"/>
      <c r="D44" s="25"/>
      <c r="E44" s="25"/>
      <c r="F44" s="3"/>
    </row>
    <row r="45" spans="1:11" ht="16" customHeight="1">
      <c r="B45" s="164" t="s">
        <v>47</v>
      </c>
      <c r="D45" s="364" t="s">
        <v>27</v>
      </c>
      <c r="E45" s="364"/>
      <c r="F45" s="184" t="s">
        <v>5</v>
      </c>
      <c r="G45" s="184" t="s">
        <v>6</v>
      </c>
    </row>
    <row r="46" spans="1:11" ht="16" customHeight="1">
      <c r="B46" s="1" t="s">
        <v>48</v>
      </c>
      <c r="D46" s="165" t="s">
        <v>30</v>
      </c>
      <c r="E46" s="166" t="s">
        <v>102</v>
      </c>
      <c r="F46" s="110">
        <v>140</v>
      </c>
      <c r="G46" s="93">
        <f>F46*25.4</f>
        <v>3556</v>
      </c>
    </row>
    <row r="47" spans="1:11" ht="16" customHeight="1">
      <c r="B47" s="1" t="s">
        <v>127</v>
      </c>
      <c r="D47" s="165" t="s">
        <v>30</v>
      </c>
      <c r="E47" s="166" t="s">
        <v>102</v>
      </c>
      <c r="F47" s="110">
        <v>140</v>
      </c>
      <c r="G47" s="110">
        <f>F47*25.4</f>
        <v>3556</v>
      </c>
    </row>
    <row r="48" spans="1:11" ht="16" customHeight="1">
      <c r="B48" s="3" t="s">
        <v>141</v>
      </c>
      <c r="D48" s="165" t="s">
        <v>30</v>
      </c>
      <c r="E48" s="166" t="s">
        <v>102</v>
      </c>
      <c r="F48" s="110">
        <v>280</v>
      </c>
      <c r="G48" s="110">
        <f>F48*25.4</f>
        <v>7112</v>
      </c>
      <c r="H48" s="3"/>
    </row>
    <row r="50" spans="2:11">
      <c r="B50" s="107" t="s">
        <v>33</v>
      </c>
      <c r="C50" s="115"/>
      <c r="D50" s="115"/>
      <c r="E50" s="115"/>
      <c r="F50" s="115"/>
      <c r="G50" s="115"/>
      <c r="H50" s="115"/>
      <c r="I50" s="115"/>
      <c r="J50" s="115"/>
      <c r="K50" s="115"/>
    </row>
    <row r="51" spans="2:11">
      <c r="B51" s="35" t="s">
        <v>103</v>
      </c>
      <c r="C51" s="35"/>
      <c r="D51" s="35"/>
      <c r="E51" s="35"/>
      <c r="F51" s="35"/>
      <c r="G51" s="35"/>
      <c r="H51" s="35"/>
      <c r="I51" s="35"/>
      <c r="J51" s="35"/>
      <c r="K51" s="35"/>
    </row>
    <row r="52" spans="2:11">
      <c r="B52" s="35"/>
      <c r="C52" s="35"/>
      <c r="D52" s="35"/>
      <c r="E52" s="35"/>
      <c r="F52" s="35"/>
      <c r="G52" s="35"/>
      <c r="H52" s="35"/>
      <c r="I52" s="35"/>
      <c r="J52" s="35"/>
      <c r="K52" s="35"/>
    </row>
    <row r="53" spans="2:11">
      <c r="B53" s="107" t="s">
        <v>38</v>
      </c>
      <c r="C53" s="115"/>
      <c r="D53" s="115"/>
      <c r="E53" s="115"/>
      <c r="F53" s="115"/>
      <c r="G53" s="115"/>
      <c r="H53" s="115"/>
      <c r="I53" s="115"/>
      <c r="J53" s="115"/>
      <c r="K53" s="115"/>
    </row>
    <row r="54" spans="2:11">
      <c r="B54" s="1" t="s">
        <v>104</v>
      </c>
    </row>
    <row r="55" spans="2:11">
      <c r="B55" s="1" t="s">
        <v>105</v>
      </c>
    </row>
    <row r="56" spans="2:11" ht="7" customHeight="1"/>
    <row r="57" spans="2:11">
      <c r="B57" s="1" t="s">
        <v>106</v>
      </c>
    </row>
    <row r="58" spans="2:11">
      <c r="B58" s="65">
        <f>+C32+110</f>
        <v>1356.3333333333335</v>
      </c>
      <c r="C58" s="1" t="s">
        <v>41</v>
      </c>
      <c r="E58" s="65"/>
    </row>
    <row r="59" spans="2:11">
      <c r="B59" s="79">
        <f>((C31-(C32-188))/2)+110</f>
        <v>964.83333333333326</v>
      </c>
      <c r="C59" s="1" t="s">
        <v>42</v>
      </c>
      <c r="E59" s="36"/>
    </row>
    <row r="60" spans="2:11">
      <c r="B60" s="36">
        <v>330</v>
      </c>
      <c r="C60" s="1" t="s">
        <v>23</v>
      </c>
      <c r="E60" s="36"/>
    </row>
    <row r="61" spans="2:11">
      <c r="B61" s="37"/>
    </row>
  </sheetData>
  <mergeCells count="9">
    <mergeCell ref="D45:E45"/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ageMargins left="0.75000000000000011" right="0.75000000000000011" top="1" bottom="1" header="0.5" footer="0.5"/>
  <pageSetup paperSize="9" scale="62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K60"/>
  <sheetViews>
    <sheetView showGridLines="0" workbookViewId="0">
      <selection activeCell="D48" sqref="D48"/>
    </sheetView>
  </sheetViews>
  <sheetFormatPr baseColWidth="10" defaultColWidth="10.83203125" defaultRowHeight="16"/>
  <cols>
    <col min="1" max="1" width="10" style="1" customWidth="1"/>
    <col min="2" max="16384" width="10.83203125" style="1"/>
  </cols>
  <sheetData>
    <row r="1" spans="1:11" ht="40" customHeight="1">
      <c r="A1" s="326" t="s">
        <v>107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s="2" customFormat="1" ht="40" customHeight="1">
      <c r="A2" s="327" t="str">
        <f>+ROUND(B30,0)&amp;""""&amp;" "&amp;E30&amp;" Aspect Ratio"</f>
        <v>100" 2.4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1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>
      <c r="A4" s="3"/>
      <c r="B4" s="308"/>
      <c r="C4" s="308"/>
      <c r="D4" s="308"/>
      <c r="E4" s="308"/>
      <c r="F4" s="308"/>
      <c r="G4" s="308"/>
      <c r="H4" s="308"/>
      <c r="I4" s="308"/>
      <c r="J4" s="3"/>
      <c r="K4" s="3"/>
    </row>
    <row r="5" spans="1:11">
      <c r="A5" s="3"/>
      <c r="B5" s="308"/>
      <c r="C5" s="308"/>
      <c r="D5" s="308"/>
      <c r="E5" s="309">
        <f>+C30</f>
        <v>2540</v>
      </c>
      <c r="F5" s="308"/>
      <c r="G5" s="308"/>
      <c r="H5" s="308"/>
      <c r="I5" s="308"/>
      <c r="J5" s="3"/>
      <c r="K5" s="3"/>
    </row>
    <row r="6" spans="1:11">
      <c r="A6" s="3"/>
      <c r="B6" s="308"/>
      <c r="C6" s="308"/>
      <c r="D6" s="308"/>
      <c r="E6" s="310">
        <f>+E5/$E$35</f>
        <v>100</v>
      </c>
      <c r="F6" s="311"/>
      <c r="G6" s="308"/>
      <c r="H6" s="308"/>
      <c r="I6" s="308"/>
      <c r="J6" s="3"/>
      <c r="K6" s="3"/>
    </row>
    <row r="7" spans="1:11">
      <c r="A7" s="3"/>
      <c r="B7" s="308"/>
      <c r="C7" s="308"/>
      <c r="D7" s="308"/>
      <c r="E7" s="308"/>
      <c r="F7" s="308"/>
      <c r="G7" s="308"/>
      <c r="H7" s="308"/>
      <c r="I7" s="308"/>
      <c r="J7" s="3"/>
      <c r="K7" s="3"/>
    </row>
    <row r="8" spans="1:11">
      <c r="A8" s="3"/>
      <c r="B8" s="308"/>
      <c r="C8" s="308"/>
      <c r="D8" s="308"/>
      <c r="E8" s="308"/>
      <c r="F8" s="308"/>
      <c r="G8" s="308"/>
      <c r="H8" s="308"/>
      <c r="I8" s="308"/>
      <c r="J8" s="3"/>
      <c r="K8" s="3"/>
    </row>
    <row r="9" spans="1:11">
      <c r="A9" s="3"/>
      <c r="B9" s="308"/>
      <c r="C9" s="308"/>
      <c r="D9" s="311"/>
      <c r="E9" s="308"/>
      <c r="F9" s="308"/>
      <c r="G9" s="308"/>
      <c r="H9" s="308"/>
      <c r="I9" s="308"/>
      <c r="J9" s="3"/>
      <c r="K9" s="3"/>
    </row>
    <row r="10" spans="1:11">
      <c r="A10" s="3"/>
      <c r="B10" s="308"/>
      <c r="C10" s="308"/>
      <c r="D10" s="308"/>
      <c r="E10" s="308"/>
      <c r="F10" s="308"/>
      <c r="G10" s="308"/>
      <c r="H10" s="308"/>
      <c r="I10" s="308"/>
      <c r="J10" s="3"/>
      <c r="K10" s="3"/>
    </row>
    <row r="11" spans="1:11">
      <c r="A11" s="3"/>
      <c r="B11" s="308"/>
      <c r="C11" s="308"/>
      <c r="D11" s="309">
        <f>+C31</f>
        <v>1058.3333333333335</v>
      </c>
      <c r="E11" s="308"/>
      <c r="F11" s="311"/>
      <c r="G11" s="308"/>
      <c r="H11" s="308"/>
      <c r="I11" s="308"/>
      <c r="K11" s="3"/>
    </row>
    <row r="12" spans="1:11">
      <c r="A12" s="3"/>
      <c r="B12" s="308"/>
      <c r="C12" s="308"/>
      <c r="D12" s="312">
        <f>+D11/$E$35</f>
        <v>41.666666666666679</v>
      </c>
      <c r="E12" s="308"/>
      <c r="F12" s="308"/>
      <c r="G12" s="308"/>
      <c r="H12" s="308"/>
      <c r="I12" s="308"/>
      <c r="J12" s="3"/>
      <c r="K12" s="3"/>
    </row>
    <row r="13" spans="1:11">
      <c r="A13" s="3"/>
      <c r="B13" s="308"/>
      <c r="C13" s="308"/>
      <c r="D13" s="308"/>
      <c r="E13" s="308"/>
      <c r="F13" s="308"/>
      <c r="G13" s="308"/>
      <c r="H13" s="308"/>
      <c r="I13" s="308"/>
      <c r="J13" s="6">
        <f>+C33</f>
        <v>1246.3333333333335</v>
      </c>
      <c r="K13" s="3"/>
    </row>
    <row r="14" spans="1:11">
      <c r="A14" s="3"/>
      <c r="B14" s="308"/>
      <c r="C14" s="308"/>
      <c r="D14" s="308"/>
      <c r="E14" s="308"/>
      <c r="F14" s="309">
        <f>+C34</f>
        <v>2751.666666666667</v>
      </c>
      <c r="G14" s="308"/>
      <c r="H14" s="308"/>
      <c r="I14" s="308"/>
      <c r="J14" s="4">
        <f>+J13/$E$35</f>
        <v>49.068241469816279</v>
      </c>
      <c r="K14" s="3"/>
    </row>
    <row r="15" spans="1:11">
      <c r="A15" s="3"/>
      <c r="B15" s="308"/>
      <c r="C15" s="308"/>
      <c r="D15" s="308"/>
      <c r="E15" s="308"/>
      <c r="F15" s="312">
        <f>+F14/$E$35</f>
        <v>108.33333333333336</v>
      </c>
      <c r="G15" s="308"/>
      <c r="H15" s="308"/>
      <c r="I15" s="308"/>
      <c r="J15" s="3"/>
      <c r="K15" s="3"/>
    </row>
    <row r="16" spans="1:11">
      <c r="A16" s="3"/>
      <c r="B16" s="308"/>
      <c r="C16" s="308"/>
      <c r="D16" s="308"/>
      <c r="E16" s="308"/>
      <c r="F16" s="308"/>
      <c r="G16" s="308"/>
      <c r="H16" s="308"/>
      <c r="I16" s="308"/>
      <c r="J16" s="3"/>
      <c r="K16" s="3"/>
    </row>
    <row r="17" spans="1:11">
      <c r="A17" s="3"/>
      <c r="B17" s="308"/>
      <c r="C17" s="308"/>
      <c r="D17" s="308"/>
      <c r="E17" s="308"/>
      <c r="F17" s="308"/>
      <c r="G17" s="308"/>
      <c r="H17" s="308"/>
      <c r="I17" s="308"/>
      <c r="J17" s="3"/>
      <c r="K17" s="3"/>
    </row>
    <row r="18" spans="1:11">
      <c r="A18" s="3"/>
      <c r="B18" s="308"/>
      <c r="C18" s="308"/>
      <c r="D18" s="308"/>
      <c r="E18" s="308"/>
      <c r="F18" s="308"/>
      <c r="G18" s="308"/>
      <c r="H18" s="308"/>
      <c r="I18" s="308"/>
      <c r="J18" s="3"/>
      <c r="K18" s="3"/>
    </row>
    <row r="19" spans="1:11">
      <c r="A19" s="3"/>
      <c r="B19" s="308"/>
      <c r="C19" s="308"/>
      <c r="D19" s="308"/>
      <c r="E19" s="308"/>
      <c r="F19" s="308"/>
      <c r="G19" s="308"/>
      <c r="H19" s="308"/>
      <c r="I19" s="308"/>
      <c r="J19" s="3"/>
      <c r="K19" s="3"/>
    </row>
    <row r="20" spans="1:11">
      <c r="A20" s="3"/>
      <c r="B20" s="308"/>
      <c r="C20" s="308"/>
      <c r="D20" s="308"/>
      <c r="E20" s="308"/>
      <c r="F20" s="308"/>
      <c r="G20" s="308"/>
      <c r="H20" s="308"/>
      <c r="I20" s="308"/>
      <c r="J20" s="3"/>
      <c r="K20" s="3"/>
    </row>
    <row r="21" spans="1:11">
      <c r="A21" s="3"/>
      <c r="B21" s="308"/>
      <c r="C21" s="308"/>
      <c r="D21" s="308"/>
      <c r="E21" s="313"/>
      <c r="F21" s="308"/>
      <c r="G21" s="308"/>
      <c r="H21" s="308"/>
      <c r="I21" s="308"/>
      <c r="J21" s="3"/>
      <c r="K21" s="3"/>
    </row>
    <row r="22" spans="1:11">
      <c r="A22" s="3"/>
      <c r="B22" s="308"/>
      <c r="C22" s="308"/>
      <c r="D22" s="308"/>
      <c r="E22" s="314"/>
      <c r="F22" s="308"/>
      <c r="G22" s="308"/>
      <c r="H22" s="308"/>
      <c r="I22" s="308"/>
      <c r="J22" s="3"/>
      <c r="K22" s="3"/>
    </row>
    <row r="23" spans="1:11">
      <c r="A23" s="3"/>
      <c r="B23" s="308"/>
      <c r="C23" s="308"/>
      <c r="D23" s="308"/>
      <c r="E23" s="308"/>
      <c r="F23" s="308"/>
      <c r="G23" s="308"/>
      <c r="H23" s="308"/>
      <c r="I23" s="308"/>
      <c r="J23" s="3"/>
      <c r="K23" s="3"/>
    </row>
    <row r="24" spans="1:1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>
      <c r="A25" s="3"/>
      <c r="B25" s="3"/>
      <c r="C25" s="3"/>
      <c r="D25" s="3"/>
      <c r="E25" s="3"/>
      <c r="F25" s="3"/>
      <c r="G25" s="3"/>
      <c r="H25" s="3"/>
      <c r="I25" s="3"/>
      <c r="J25" s="3"/>
      <c r="K25" s="186">
        <f>+C35</f>
        <v>225</v>
      </c>
    </row>
    <row r="26" spans="1:11">
      <c r="A26" s="3"/>
      <c r="B26" s="3"/>
      <c r="C26" s="3"/>
      <c r="D26" s="3"/>
      <c r="E26" s="77">
        <f>+C32</f>
        <v>2768</v>
      </c>
      <c r="F26" s="3"/>
      <c r="G26" s="3"/>
      <c r="H26" s="3"/>
      <c r="I26" s="3"/>
      <c r="J26" s="3"/>
      <c r="K26" s="185">
        <f>+K25/$E$35</f>
        <v>8.8582677165354333</v>
      </c>
    </row>
    <row r="27" spans="1:11">
      <c r="A27" s="3"/>
      <c r="B27" s="3"/>
      <c r="C27" s="3"/>
      <c r="D27" s="3"/>
      <c r="E27" s="42">
        <f>+E26/$E$35</f>
        <v>108.97637795275591</v>
      </c>
      <c r="F27" s="3"/>
      <c r="G27" s="3"/>
      <c r="H27" s="3"/>
      <c r="I27" s="3"/>
      <c r="J27" s="3"/>
    </row>
    <row r="28" spans="1:11" ht="17" thickBot="1">
      <c r="A28" s="3"/>
      <c r="B28" s="3"/>
      <c r="C28" s="3"/>
      <c r="D28" s="3"/>
      <c r="E28" s="42"/>
      <c r="F28" s="3"/>
      <c r="G28" s="3"/>
      <c r="H28" s="3"/>
      <c r="I28" s="3"/>
      <c r="J28" s="3"/>
    </row>
    <row r="29" spans="1:11">
      <c r="A29" s="9"/>
      <c r="B29" s="10" t="s">
        <v>5</v>
      </c>
      <c r="C29" s="11" t="s">
        <v>6</v>
      </c>
      <c r="D29" s="12" t="s">
        <v>7</v>
      </c>
      <c r="E29" s="328" t="str">
        <f>IF(C31&lt;=2800,"Enlightor NEO","Enlightor NEO-W")</f>
        <v>Enlightor NEO</v>
      </c>
      <c r="F29" s="329"/>
      <c r="G29" s="12" t="s">
        <v>8</v>
      </c>
      <c r="H29" s="330">
        <f ca="1">NOW()</f>
        <v>43377.415750578701</v>
      </c>
      <c r="I29" s="330"/>
      <c r="J29" s="330"/>
      <c r="K29" s="331"/>
    </row>
    <row r="30" spans="1:11">
      <c r="A30" s="136" t="s">
        <v>9</v>
      </c>
      <c r="B30" s="49">
        <f t="shared" ref="B30:B35" si="0">+C30/$E$35</f>
        <v>100</v>
      </c>
      <c r="C30" s="86">
        <v>2540</v>
      </c>
      <c r="D30" s="137" t="s">
        <v>10</v>
      </c>
      <c r="E30" s="332">
        <v>2.4</v>
      </c>
      <c r="F30" s="333"/>
      <c r="G30" s="16" t="s">
        <v>11</v>
      </c>
      <c r="H30" s="334"/>
      <c r="I30" s="334"/>
      <c r="J30" s="334"/>
      <c r="K30" s="335"/>
    </row>
    <row r="31" spans="1:11">
      <c r="A31" s="13" t="s">
        <v>12</v>
      </c>
      <c r="B31" s="49">
        <f t="shared" si="0"/>
        <v>41.666666666666679</v>
      </c>
      <c r="C31" s="17">
        <f>+C30/E30</f>
        <v>1058.3333333333335</v>
      </c>
      <c r="D31" s="16" t="s">
        <v>13</v>
      </c>
      <c r="E31" s="332" t="s">
        <v>108</v>
      </c>
      <c r="F31" s="333"/>
      <c r="G31" s="16" t="s">
        <v>15</v>
      </c>
      <c r="H31" s="323"/>
      <c r="I31" s="324"/>
      <c r="J31" s="324"/>
      <c r="K31" s="325"/>
    </row>
    <row r="32" spans="1:11">
      <c r="A32" s="13" t="s">
        <v>16</v>
      </c>
      <c r="B32" s="49">
        <f t="shared" si="0"/>
        <v>108.97637795275591</v>
      </c>
      <c r="C32" s="18">
        <f>+C30+(2*E34)+40</f>
        <v>2768</v>
      </c>
      <c r="D32" s="16" t="s">
        <v>101</v>
      </c>
      <c r="E32" s="19" t="s">
        <v>108</v>
      </c>
      <c r="F32" s="20" t="s">
        <v>18</v>
      </c>
      <c r="G32" s="3"/>
      <c r="H32" s="3"/>
      <c r="I32" s="3"/>
      <c r="J32" s="3"/>
      <c r="K32" s="21"/>
    </row>
    <row r="33" spans="1:11">
      <c r="A33" s="13" t="s">
        <v>19</v>
      </c>
      <c r="B33" s="49">
        <f t="shared" si="0"/>
        <v>49.068241469816279</v>
      </c>
      <c r="C33" s="18">
        <f>+C31+(2*E34)</f>
        <v>1246.3333333333335</v>
      </c>
      <c r="D33" s="22" t="s">
        <v>20</v>
      </c>
      <c r="E33" s="78" t="s">
        <v>72</v>
      </c>
      <c r="F33" s="24"/>
      <c r="G33" s="25"/>
      <c r="H33" s="25"/>
      <c r="I33" s="25"/>
      <c r="J33" s="25"/>
      <c r="K33" s="26"/>
    </row>
    <row r="34" spans="1:11">
      <c r="A34" s="13" t="s">
        <v>21</v>
      </c>
      <c r="B34" s="49">
        <f t="shared" si="0"/>
        <v>108.33333333333336</v>
      </c>
      <c r="C34" s="18">
        <f>SQRT((C30^2)+(C31^2))</f>
        <v>2751.666666666667</v>
      </c>
      <c r="D34" s="22" t="s">
        <v>22</v>
      </c>
      <c r="E34" s="52">
        <v>94</v>
      </c>
      <c r="F34" s="24"/>
      <c r="G34" s="25"/>
      <c r="H34" s="25"/>
      <c r="I34" s="25"/>
      <c r="J34" s="25"/>
      <c r="K34" s="26"/>
    </row>
    <row r="35" spans="1:11" ht="17" thickBot="1">
      <c r="A35" s="28" t="s">
        <v>23</v>
      </c>
      <c r="B35" s="60">
        <f t="shared" si="0"/>
        <v>8.8582677165354333</v>
      </c>
      <c r="C35" s="74">
        <v>225</v>
      </c>
      <c r="D35" s="31" t="s">
        <v>24</v>
      </c>
      <c r="E35" s="63">
        <v>25.4</v>
      </c>
      <c r="F35" s="33"/>
      <c r="G35" s="33"/>
      <c r="H35" s="33"/>
      <c r="I35" s="33"/>
      <c r="J35" s="33"/>
      <c r="K35" s="72" t="s">
        <v>59</v>
      </c>
    </row>
    <row r="37" spans="1:11">
      <c r="B37" s="107" t="s">
        <v>89</v>
      </c>
      <c r="C37" s="107"/>
      <c r="D37" s="107"/>
      <c r="E37" s="107"/>
      <c r="F37" s="107"/>
      <c r="G37" s="107"/>
      <c r="H37" s="107"/>
      <c r="I37" s="107"/>
      <c r="J37" s="107"/>
      <c r="K37" s="107"/>
    </row>
    <row r="38" spans="1:11">
      <c r="B38" s="119" t="s">
        <v>90</v>
      </c>
      <c r="C38" s="134" t="s">
        <v>91</v>
      </c>
      <c r="D38" s="119" t="s">
        <v>92</v>
      </c>
      <c r="E38" s="134" t="s">
        <v>109</v>
      </c>
      <c r="F38" s="134" t="s">
        <v>93</v>
      </c>
      <c r="G38" s="134" t="s">
        <v>94</v>
      </c>
    </row>
    <row r="39" spans="1:11">
      <c r="B39" s="123">
        <f>E30</f>
        <v>2.4</v>
      </c>
      <c r="C39" s="124">
        <f t="shared" ref="C39:C42" si="1">+$C$31</f>
        <v>1058.3333333333335</v>
      </c>
      <c r="D39" s="124">
        <f t="shared" ref="D39:D42" si="2">+$E$5</f>
        <v>2540</v>
      </c>
      <c r="E39" s="83">
        <f t="shared" ref="E39:E42" si="3">+C39*B39</f>
        <v>2540.0000000000005</v>
      </c>
      <c r="F39" s="83">
        <f t="shared" ref="F39:F42" si="4">+D39-E39</f>
        <v>0</v>
      </c>
      <c r="G39" s="125">
        <f t="shared" ref="G39:G42" si="5">+E39/D39</f>
        <v>1.0000000000000002</v>
      </c>
    </row>
    <row r="40" spans="1:11">
      <c r="B40" s="123">
        <v>1.85</v>
      </c>
      <c r="C40" s="124">
        <f t="shared" si="1"/>
        <v>1058.3333333333335</v>
      </c>
      <c r="D40" s="124">
        <f t="shared" si="2"/>
        <v>2540</v>
      </c>
      <c r="E40" s="83">
        <f t="shared" si="3"/>
        <v>1957.916666666667</v>
      </c>
      <c r="F40" s="83">
        <f t="shared" si="4"/>
        <v>582.08333333333303</v>
      </c>
      <c r="G40" s="125">
        <f t="shared" si="5"/>
        <v>0.77083333333333348</v>
      </c>
    </row>
    <row r="41" spans="1:11">
      <c r="B41" s="123">
        <v>1.78</v>
      </c>
      <c r="C41" s="124">
        <f t="shared" si="1"/>
        <v>1058.3333333333335</v>
      </c>
      <c r="D41" s="124">
        <f t="shared" si="2"/>
        <v>2540</v>
      </c>
      <c r="E41" s="83">
        <f t="shared" si="3"/>
        <v>1883.8333333333337</v>
      </c>
      <c r="F41" s="83">
        <f t="shared" si="4"/>
        <v>656.16666666666629</v>
      </c>
      <c r="G41" s="125">
        <f t="shared" si="5"/>
        <v>0.74166666666666681</v>
      </c>
    </row>
    <row r="42" spans="1:11">
      <c r="B42" s="123">
        <v>1.33</v>
      </c>
      <c r="C42" s="124">
        <f t="shared" si="1"/>
        <v>1058.3333333333335</v>
      </c>
      <c r="D42" s="124">
        <f t="shared" si="2"/>
        <v>2540</v>
      </c>
      <c r="E42" s="83">
        <f t="shared" si="3"/>
        <v>1407.5833333333337</v>
      </c>
      <c r="F42" s="83">
        <f t="shared" si="4"/>
        <v>1132.4166666666663</v>
      </c>
      <c r="G42" s="125">
        <f t="shared" si="5"/>
        <v>0.55416666666666681</v>
      </c>
      <c r="H42" s="122"/>
    </row>
    <row r="44" spans="1:11" ht="16" customHeight="1">
      <c r="B44" s="112" t="s">
        <v>26</v>
      </c>
      <c r="C44" s="115"/>
      <c r="D44" s="120"/>
      <c r="E44" s="120"/>
      <c r="F44" s="115"/>
      <c r="G44" s="115"/>
      <c r="H44" s="115"/>
      <c r="I44" s="115"/>
      <c r="J44" s="115"/>
      <c r="K44" s="115"/>
    </row>
    <row r="45" spans="1:11" ht="7" customHeight="1">
      <c r="B45" s="113"/>
      <c r="C45" s="3"/>
      <c r="D45" s="25"/>
      <c r="E45" s="25"/>
      <c r="F45" s="3"/>
    </row>
    <row r="46" spans="1:11" ht="16" customHeight="1">
      <c r="B46" s="108"/>
      <c r="C46" s="121" t="s">
        <v>27</v>
      </c>
      <c r="D46" s="121" t="s">
        <v>5</v>
      </c>
      <c r="E46" s="121" t="s">
        <v>6</v>
      </c>
    </row>
    <row r="47" spans="1:11" ht="16" customHeight="1">
      <c r="B47" s="108" t="s">
        <v>30</v>
      </c>
      <c r="C47" s="111" t="s">
        <v>31</v>
      </c>
      <c r="D47" s="110">
        <v>255</v>
      </c>
      <c r="E47" s="110">
        <f>D47*25.4</f>
        <v>6477</v>
      </c>
      <c r="F47" s="3"/>
      <c r="G47" s="3" t="s">
        <v>32</v>
      </c>
    </row>
    <row r="49" spans="2:11">
      <c r="B49" s="107" t="s">
        <v>33</v>
      </c>
      <c r="C49" s="115"/>
      <c r="D49" s="115"/>
      <c r="E49" s="115"/>
      <c r="F49" s="115"/>
      <c r="G49" s="115"/>
      <c r="H49" s="115"/>
      <c r="I49" s="115"/>
      <c r="J49" s="115"/>
      <c r="K49" s="115"/>
    </row>
    <row r="50" spans="2:11">
      <c r="B50" s="35" t="s">
        <v>103</v>
      </c>
      <c r="C50" s="35"/>
      <c r="D50" s="35"/>
      <c r="E50" s="35"/>
      <c r="F50" s="35"/>
      <c r="G50" s="35"/>
      <c r="H50" s="35"/>
      <c r="I50" s="35"/>
      <c r="J50" s="35"/>
      <c r="K50" s="35"/>
    </row>
    <row r="51" spans="2:11">
      <c r="B51" s="35"/>
      <c r="C51" s="35"/>
      <c r="D51" s="35"/>
      <c r="E51" s="35"/>
      <c r="F51" s="35"/>
      <c r="G51" s="35"/>
      <c r="H51" s="35"/>
      <c r="I51" s="35"/>
      <c r="J51" s="35"/>
      <c r="K51" s="35"/>
    </row>
    <row r="52" spans="2:11">
      <c r="B52" s="107" t="s">
        <v>110</v>
      </c>
      <c r="C52" s="115"/>
      <c r="D52" s="115"/>
      <c r="E52" s="115"/>
      <c r="F52" s="115"/>
      <c r="G52" s="115"/>
      <c r="H52" s="115"/>
      <c r="I52" s="115"/>
      <c r="J52" s="115"/>
      <c r="K52" s="115"/>
    </row>
    <row r="53" spans="2:11">
      <c r="B53" s="1" t="s">
        <v>111</v>
      </c>
    </row>
    <row r="54" spans="2:11">
      <c r="B54" s="1" t="s">
        <v>105</v>
      </c>
    </row>
    <row r="56" spans="2:11">
      <c r="B56" s="1" t="s">
        <v>63</v>
      </c>
    </row>
    <row r="57" spans="2:11">
      <c r="B57" s="65">
        <f>+C32/2+350</f>
        <v>1734</v>
      </c>
      <c r="C57" s="1" t="s">
        <v>41</v>
      </c>
      <c r="E57" s="65"/>
    </row>
    <row r="58" spans="2:11">
      <c r="B58" s="65">
        <f>+C33+100</f>
        <v>1346.3333333333335</v>
      </c>
      <c r="C58" s="1" t="s">
        <v>42</v>
      </c>
      <c r="E58" s="65"/>
    </row>
    <row r="59" spans="2:11">
      <c r="B59" s="65">
        <v>370</v>
      </c>
      <c r="C59" s="1" t="s">
        <v>23</v>
      </c>
      <c r="E59" s="65"/>
    </row>
    <row r="60" spans="2:11">
      <c r="B60" s="37"/>
    </row>
  </sheetData>
  <mergeCells count="8">
    <mergeCell ref="E31:F31"/>
    <mergeCell ref="H31:K31"/>
    <mergeCell ref="A1:K1"/>
    <mergeCell ref="A2:K2"/>
    <mergeCell ref="E29:F29"/>
    <mergeCell ref="H29:K29"/>
    <mergeCell ref="E30:F30"/>
    <mergeCell ref="H30:K30"/>
  </mergeCells>
  <phoneticPr fontId="4" type="noConversion"/>
  <pageMargins left="0.75000000000000011" right="0.75000000000000011" top="1" bottom="1" header="0.5" footer="0.5"/>
  <pageSetup paperSize="9" scale="68" orientation="portrait" horizontalDpi="4294967292" verticalDpi="4294967292"/>
  <ignoredErrors>
    <ignoredError sqref="E31" numberStoredAsText="1"/>
  </ignoredError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K70"/>
  <sheetViews>
    <sheetView showGridLines="0" workbookViewId="0">
      <selection activeCell="E48" sqref="E48"/>
    </sheetView>
  </sheetViews>
  <sheetFormatPr baseColWidth="10" defaultColWidth="10.83203125" defaultRowHeight="16"/>
  <cols>
    <col min="1" max="1" width="10" style="1" customWidth="1"/>
    <col min="2" max="5" width="10.83203125" style="1"/>
    <col min="6" max="8" width="11.6640625" style="1" bestFit="1" customWidth="1"/>
    <col min="9" max="16384" width="10.83203125" style="1"/>
  </cols>
  <sheetData>
    <row r="1" spans="1:11" ht="48" customHeight="1">
      <c r="A1" s="326" t="s">
        <v>112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s="2" customFormat="1" ht="48" customHeight="1">
      <c r="A2" s="327" t="str">
        <f>+ROUND(B30,0)&amp;""""&amp;" "&amp;E30&amp;" Aspect Ratio"</f>
        <v>100" 2.4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1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 ht="9" customHeight="1">
      <c r="A4" s="3"/>
      <c r="B4" s="75"/>
      <c r="C4" s="20"/>
      <c r="D4" s="20"/>
      <c r="E4" s="3"/>
      <c r="F4" s="3"/>
      <c r="G4" s="20"/>
      <c r="H4" s="20"/>
      <c r="I4" s="75"/>
      <c r="J4" s="3"/>
      <c r="K4" s="3"/>
    </row>
    <row r="5" spans="1:11">
      <c r="A5" s="3"/>
      <c r="B5" s="75"/>
      <c r="C5" s="75"/>
      <c r="D5" s="20"/>
      <c r="G5" s="20"/>
      <c r="H5" s="75"/>
      <c r="I5" s="75"/>
      <c r="J5" s="3"/>
      <c r="K5" s="3"/>
    </row>
    <row r="6" spans="1:11">
      <c r="A6" s="3"/>
      <c r="B6" s="75"/>
      <c r="C6" s="75"/>
      <c r="D6" s="20"/>
      <c r="G6" s="20"/>
      <c r="H6" s="75"/>
      <c r="I6" s="75"/>
      <c r="J6" s="3"/>
      <c r="K6" s="3"/>
    </row>
    <row r="7" spans="1:11">
      <c r="A7" s="3"/>
      <c r="B7" s="75"/>
      <c r="C7" s="75"/>
      <c r="D7" s="20"/>
      <c r="F7" s="84">
        <f>+C30</f>
        <v>2540</v>
      </c>
      <c r="G7" s="20"/>
      <c r="H7" s="75"/>
      <c r="I7" s="75"/>
      <c r="J7" s="3"/>
      <c r="K7" s="3"/>
    </row>
    <row r="8" spans="1:11">
      <c r="A8" s="3"/>
      <c r="B8" s="75"/>
      <c r="C8" s="75"/>
      <c r="D8" s="20"/>
      <c r="F8" s="85">
        <f>+F7/$E$35</f>
        <v>100</v>
      </c>
      <c r="G8" s="20"/>
      <c r="H8" s="75"/>
      <c r="I8" s="75"/>
      <c r="J8" s="3"/>
      <c r="K8" s="3"/>
    </row>
    <row r="9" spans="1:11">
      <c r="A9" s="3"/>
      <c r="B9" s="75"/>
      <c r="C9" s="75"/>
      <c r="D9" s="20"/>
      <c r="E9" s="3"/>
      <c r="F9" s="3"/>
      <c r="G9" s="20"/>
      <c r="H9" s="75"/>
      <c r="I9" s="75"/>
      <c r="J9" s="3"/>
      <c r="K9" s="3"/>
    </row>
    <row r="10" spans="1:11">
      <c r="A10" s="3"/>
      <c r="B10" s="75"/>
      <c r="C10" s="75"/>
      <c r="D10" s="20"/>
      <c r="E10" s="3"/>
      <c r="F10" s="3"/>
      <c r="G10" s="20"/>
      <c r="H10" s="75"/>
      <c r="I10" s="75"/>
      <c r="J10" s="3"/>
      <c r="K10" s="3"/>
    </row>
    <row r="11" spans="1:11">
      <c r="A11" s="3"/>
      <c r="B11" s="75"/>
      <c r="C11" s="75"/>
      <c r="D11" s="20"/>
      <c r="E11" s="84">
        <f>+C31</f>
        <v>1058.3333333333335</v>
      </c>
      <c r="F11" s="179"/>
      <c r="G11" s="20"/>
      <c r="H11" s="75"/>
      <c r="I11" s="75"/>
      <c r="K11" s="3"/>
    </row>
    <row r="12" spans="1:11">
      <c r="A12" s="3"/>
      <c r="B12" s="75"/>
      <c r="C12" s="75"/>
      <c r="D12" s="20"/>
      <c r="E12" s="85">
        <f>+E11/$E$35</f>
        <v>41.666666666666679</v>
      </c>
      <c r="F12" s="4"/>
      <c r="G12" s="84">
        <f>+C34</f>
        <v>2751.666666666667</v>
      </c>
      <c r="H12" s="75"/>
      <c r="I12" s="75"/>
      <c r="J12" s="3"/>
      <c r="K12" s="3"/>
    </row>
    <row r="13" spans="1:11">
      <c r="A13" s="3"/>
      <c r="B13" s="75"/>
      <c r="C13" s="75"/>
      <c r="D13" s="20"/>
      <c r="E13" s="3"/>
      <c r="F13" s="3"/>
      <c r="G13" s="85">
        <f>+G12/$E$35</f>
        <v>108.33333333333336</v>
      </c>
      <c r="H13" s="75"/>
      <c r="I13" s="75"/>
      <c r="J13" s="186">
        <f>+C33</f>
        <v>1246.3333333333335</v>
      </c>
      <c r="K13" s="3"/>
    </row>
    <row r="14" spans="1:11">
      <c r="A14" s="3"/>
      <c r="B14" s="75"/>
      <c r="C14" s="75"/>
      <c r="D14" s="20"/>
      <c r="E14" s="3"/>
      <c r="H14" s="75"/>
      <c r="I14" s="75"/>
      <c r="J14" s="42">
        <f>+J13/$E$35</f>
        <v>49.068241469816279</v>
      </c>
      <c r="K14" s="3"/>
    </row>
    <row r="15" spans="1:11">
      <c r="A15" s="3"/>
      <c r="B15" s="75"/>
      <c r="C15" s="75"/>
      <c r="D15" s="20"/>
      <c r="E15" s="3"/>
      <c r="G15" s="20"/>
      <c r="H15" s="75"/>
      <c r="I15" s="75"/>
      <c r="J15" s="3"/>
      <c r="K15" s="3"/>
    </row>
    <row r="16" spans="1:11">
      <c r="A16" s="3"/>
      <c r="B16" s="75"/>
      <c r="C16" s="75"/>
      <c r="D16" s="20"/>
      <c r="E16" s="3"/>
      <c r="F16" s="3"/>
      <c r="G16" s="20"/>
      <c r="H16" s="75"/>
      <c r="I16" s="75"/>
      <c r="J16" s="3"/>
      <c r="K16" s="3"/>
    </row>
    <row r="17" spans="1:11">
      <c r="A17" s="3"/>
      <c r="B17" s="75"/>
      <c r="C17" s="75"/>
      <c r="D17" s="20"/>
      <c r="E17" s="3"/>
      <c r="F17" s="3"/>
      <c r="G17" s="20"/>
      <c r="H17" s="75"/>
      <c r="I17" s="75"/>
      <c r="J17" s="3"/>
      <c r="K17" s="3"/>
    </row>
    <row r="18" spans="1:11">
      <c r="A18" s="3"/>
      <c r="B18" s="75"/>
      <c r="C18" s="75"/>
      <c r="D18" s="20"/>
      <c r="E18" s="3"/>
      <c r="F18" s="3"/>
      <c r="G18" s="20"/>
      <c r="H18" s="75"/>
      <c r="I18" s="75"/>
      <c r="J18" s="3"/>
      <c r="K18" s="3"/>
    </row>
    <row r="19" spans="1:11">
      <c r="A19" s="3"/>
      <c r="B19" s="75"/>
      <c r="C19" s="75"/>
      <c r="D19" s="20"/>
      <c r="E19" s="3"/>
      <c r="F19" s="3"/>
      <c r="G19" s="20"/>
      <c r="H19" s="75"/>
      <c r="I19" s="75"/>
      <c r="J19" s="3"/>
      <c r="K19" s="3"/>
    </row>
    <row r="20" spans="1:11">
      <c r="A20" s="3"/>
      <c r="B20" s="75"/>
      <c r="C20" s="75"/>
      <c r="D20" s="20"/>
      <c r="E20" s="387"/>
      <c r="F20" s="387"/>
      <c r="G20" s="20"/>
      <c r="H20" s="75"/>
      <c r="I20" s="75"/>
      <c r="J20" s="3"/>
      <c r="K20" s="3"/>
    </row>
    <row r="21" spans="1:11">
      <c r="A21" s="3"/>
      <c r="B21" s="75"/>
      <c r="C21" s="75"/>
      <c r="D21" s="20"/>
      <c r="E21" s="386"/>
      <c r="F21" s="386"/>
      <c r="G21" s="20"/>
      <c r="H21" s="75"/>
      <c r="I21" s="75"/>
      <c r="J21" s="3"/>
      <c r="K21" s="3"/>
    </row>
    <row r="22" spans="1:11">
      <c r="A22" s="3"/>
      <c r="B22" s="75"/>
      <c r="C22" s="75"/>
      <c r="D22" s="20"/>
      <c r="G22" s="20"/>
      <c r="H22" s="75"/>
      <c r="I22" s="75"/>
      <c r="J22" s="3"/>
      <c r="K22" s="3"/>
    </row>
    <row r="23" spans="1:11" ht="8" customHeight="1">
      <c r="A23" s="3"/>
      <c r="B23" s="75"/>
      <c r="C23" s="20"/>
      <c r="D23" s="20"/>
      <c r="E23" s="3"/>
      <c r="F23" s="3"/>
      <c r="G23" s="20"/>
      <c r="H23" s="20"/>
      <c r="I23" s="75"/>
      <c r="J23" s="3"/>
      <c r="K23" s="3"/>
    </row>
    <row r="24" spans="1:1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>
      <c r="A25" s="3"/>
      <c r="B25" s="3"/>
      <c r="C25" s="3"/>
      <c r="D25" s="3"/>
      <c r="E25" s="3"/>
      <c r="F25" s="3"/>
      <c r="G25" s="3"/>
      <c r="H25" s="3"/>
      <c r="I25" s="3"/>
      <c r="J25" s="3"/>
      <c r="K25" s="84">
        <f>+C35</f>
        <v>247</v>
      </c>
    </row>
    <row r="26" spans="1:11">
      <c r="A26" s="3"/>
      <c r="B26" s="3"/>
      <c r="C26" s="3"/>
      <c r="D26" s="3"/>
      <c r="E26" s="77">
        <f>+C32</f>
        <v>2768</v>
      </c>
      <c r="F26" s="3"/>
      <c r="G26" s="3"/>
      <c r="H26" s="3"/>
      <c r="I26" s="3"/>
      <c r="J26" s="3"/>
      <c r="K26" s="85">
        <f>+K25/$E$35</f>
        <v>9.7244094488188981</v>
      </c>
    </row>
    <row r="27" spans="1:11">
      <c r="A27" s="3"/>
      <c r="B27" s="3"/>
      <c r="C27" s="3"/>
      <c r="D27" s="3"/>
      <c r="E27" s="185">
        <f>+E26/$E$35</f>
        <v>108.97637795275591</v>
      </c>
      <c r="F27" s="3"/>
      <c r="G27" s="3"/>
      <c r="H27" s="3"/>
      <c r="I27" s="3"/>
      <c r="J27" s="3"/>
    </row>
    <row r="28" spans="1:11" ht="17" thickBot="1">
      <c r="A28" s="3"/>
      <c r="B28" s="3"/>
      <c r="C28" s="3"/>
      <c r="D28" s="3"/>
      <c r="E28" s="185"/>
      <c r="F28" s="3"/>
      <c r="G28" s="3"/>
      <c r="H28" s="3"/>
      <c r="I28" s="3"/>
      <c r="J28" s="3"/>
    </row>
    <row r="29" spans="1:11">
      <c r="A29" s="9"/>
      <c r="B29" s="10" t="s">
        <v>5</v>
      </c>
      <c r="C29" s="11" t="s">
        <v>6</v>
      </c>
      <c r="D29" s="12" t="s">
        <v>7</v>
      </c>
      <c r="E29" s="328" t="str">
        <f>IF(C31&lt;=2800,"Enlightor NEO","Enlightor NEO-W")</f>
        <v>Enlightor NEO</v>
      </c>
      <c r="F29" s="329"/>
      <c r="G29" s="12" t="s">
        <v>8</v>
      </c>
      <c r="H29" s="330">
        <f ca="1">NOW()</f>
        <v>43377.415750578701</v>
      </c>
      <c r="I29" s="330"/>
      <c r="J29" s="330"/>
      <c r="K29" s="331"/>
    </row>
    <row r="30" spans="1:11">
      <c r="A30" s="136" t="s">
        <v>9</v>
      </c>
      <c r="B30" s="14">
        <f t="shared" ref="B30:B35" si="0">+C30/$E$35</f>
        <v>100</v>
      </c>
      <c r="C30" s="86">
        <v>2540</v>
      </c>
      <c r="D30" s="137" t="s">
        <v>10</v>
      </c>
      <c r="E30" s="332">
        <v>2.4</v>
      </c>
      <c r="F30" s="333"/>
      <c r="G30" s="16" t="s">
        <v>11</v>
      </c>
      <c r="H30" s="334"/>
      <c r="I30" s="334"/>
      <c r="J30" s="334"/>
      <c r="K30" s="335"/>
    </row>
    <row r="31" spans="1:11">
      <c r="A31" s="13" t="s">
        <v>12</v>
      </c>
      <c r="B31" s="14">
        <f t="shared" si="0"/>
        <v>41.666666666666679</v>
      </c>
      <c r="C31" s="52">
        <f>+C30/E30</f>
        <v>1058.3333333333335</v>
      </c>
      <c r="D31" s="16" t="s">
        <v>13</v>
      </c>
      <c r="E31" s="365" t="s">
        <v>154</v>
      </c>
      <c r="F31" s="366"/>
      <c r="G31" s="16" t="s">
        <v>15</v>
      </c>
      <c r="H31" s="323"/>
      <c r="I31" s="324"/>
      <c r="J31" s="324"/>
      <c r="K31" s="325"/>
    </row>
    <row r="32" spans="1:11">
      <c r="A32" s="13" t="s">
        <v>16</v>
      </c>
      <c r="B32" s="14">
        <f t="shared" si="0"/>
        <v>108.97637795275591</v>
      </c>
      <c r="C32" s="53">
        <f>+C30+(2*E34)+40</f>
        <v>2768</v>
      </c>
      <c r="D32" s="16" t="s">
        <v>101</v>
      </c>
      <c r="E32" s="53" t="s">
        <v>154</v>
      </c>
      <c r="F32" s="20" t="s">
        <v>18</v>
      </c>
      <c r="G32" s="3"/>
      <c r="H32" s="3"/>
      <c r="I32" s="3"/>
      <c r="J32" s="3"/>
      <c r="K32" s="21"/>
    </row>
    <row r="33" spans="1:11">
      <c r="A33" s="13" t="s">
        <v>19</v>
      </c>
      <c r="B33" s="14">
        <f t="shared" si="0"/>
        <v>49.068241469816279</v>
      </c>
      <c r="C33" s="53">
        <f>+C31+(2*E34)</f>
        <v>1246.3333333333335</v>
      </c>
      <c r="D33" s="22" t="s">
        <v>20</v>
      </c>
      <c r="E33" s="87" t="s">
        <v>72</v>
      </c>
      <c r="F33" s="24"/>
      <c r="G33" s="25"/>
      <c r="H33" s="25"/>
      <c r="I33" s="25"/>
      <c r="J33" s="25"/>
      <c r="K33" s="26"/>
    </row>
    <row r="34" spans="1:11">
      <c r="A34" s="13" t="s">
        <v>21</v>
      </c>
      <c r="B34" s="14">
        <f t="shared" si="0"/>
        <v>108.33333333333336</v>
      </c>
      <c r="C34" s="53">
        <f>SQRT((C30^2)+(C31^2))</f>
        <v>2751.666666666667</v>
      </c>
      <c r="D34" s="22" t="s">
        <v>22</v>
      </c>
      <c r="E34" s="58">
        <v>94</v>
      </c>
      <c r="F34" s="24"/>
      <c r="G34" s="25"/>
      <c r="H34" s="25"/>
      <c r="I34" s="25"/>
      <c r="J34" s="25"/>
      <c r="K34" s="26"/>
    </row>
    <row r="35" spans="1:11" ht="17" thickBot="1">
      <c r="A35" s="28" t="s">
        <v>23</v>
      </c>
      <c r="B35" s="29">
        <f t="shared" si="0"/>
        <v>9.7244094488188981</v>
      </c>
      <c r="C35" s="61">
        <f>VLOOKUP(B30,B40:D50,2)</f>
        <v>247</v>
      </c>
      <c r="D35" s="31" t="s">
        <v>24</v>
      </c>
      <c r="E35" s="63">
        <v>25.4</v>
      </c>
      <c r="F35" s="33"/>
      <c r="G35" s="33"/>
      <c r="H35" s="33"/>
      <c r="I35" s="33"/>
      <c r="J35" s="33"/>
      <c r="K35" s="72" t="s">
        <v>59</v>
      </c>
    </row>
    <row r="38" spans="1:11">
      <c r="B38" s="385" t="s">
        <v>64</v>
      </c>
      <c r="C38" s="385"/>
      <c r="E38" s="107" t="s">
        <v>89</v>
      </c>
      <c r="F38" s="115"/>
      <c r="G38" s="115"/>
      <c r="H38" s="115"/>
      <c r="I38" s="115"/>
      <c r="J38" s="115"/>
      <c r="K38" s="115"/>
    </row>
    <row r="39" spans="1:11">
      <c r="B39" s="114" t="s">
        <v>113</v>
      </c>
      <c r="C39" s="114" t="s">
        <v>23</v>
      </c>
    </row>
    <row r="40" spans="1:11">
      <c r="B40" s="109">
        <v>80</v>
      </c>
      <c r="C40" s="117">
        <v>223</v>
      </c>
      <c r="E40" s="133" t="s">
        <v>90</v>
      </c>
      <c r="F40" s="133" t="s">
        <v>91</v>
      </c>
      <c r="G40" s="133" t="s">
        <v>92</v>
      </c>
      <c r="H40" s="133" t="s">
        <v>114</v>
      </c>
      <c r="I40" s="133" t="s">
        <v>94</v>
      </c>
    </row>
    <row r="41" spans="1:11">
      <c r="B41" s="109">
        <v>90</v>
      </c>
      <c r="C41" s="117">
        <v>234</v>
      </c>
      <c r="E41" s="320">
        <f>E30</f>
        <v>2.4</v>
      </c>
      <c r="F41" s="126">
        <f t="shared" ref="F41:F44" si="1">+$C$31</f>
        <v>1058.3333333333335</v>
      </c>
      <c r="G41" s="126">
        <f t="shared" ref="G41" si="2">F41*E41</f>
        <v>2540.0000000000005</v>
      </c>
      <c r="H41" s="126">
        <f>C30-G41</f>
        <v>0</v>
      </c>
      <c r="I41" s="127">
        <v>1</v>
      </c>
    </row>
    <row r="42" spans="1:11">
      <c r="B42" s="109">
        <v>100</v>
      </c>
      <c r="C42" s="117">
        <v>247</v>
      </c>
      <c r="E42" s="128">
        <v>1.85</v>
      </c>
      <c r="F42" s="126">
        <f t="shared" si="1"/>
        <v>1058.3333333333335</v>
      </c>
      <c r="G42" s="126">
        <f>F42*E42</f>
        <v>1957.916666666667</v>
      </c>
      <c r="H42" s="126">
        <f>C30-G42</f>
        <v>582.08333333333303</v>
      </c>
      <c r="I42" s="127">
        <v>0.77</v>
      </c>
    </row>
    <row r="43" spans="1:11">
      <c r="B43" s="109">
        <v>110</v>
      </c>
      <c r="C43" s="117">
        <v>250</v>
      </c>
      <c r="E43" s="128">
        <v>1.78</v>
      </c>
      <c r="F43" s="126">
        <f t="shared" si="1"/>
        <v>1058.3333333333335</v>
      </c>
      <c r="G43" s="126">
        <f>F43*E43</f>
        <v>1883.8333333333337</v>
      </c>
      <c r="H43" s="126">
        <f>C30-G43</f>
        <v>656.16666666666629</v>
      </c>
      <c r="I43" s="127">
        <v>0.74</v>
      </c>
    </row>
    <row r="44" spans="1:11">
      <c r="B44" s="109">
        <v>120</v>
      </c>
      <c r="C44" s="117">
        <v>263</v>
      </c>
      <c r="E44" s="128">
        <v>1.33</v>
      </c>
      <c r="F44" s="126">
        <f t="shared" si="1"/>
        <v>1058.3333333333335</v>
      </c>
      <c r="G44" s="126">
        <f>F44*E44</f>
        <v>1407.5833333333337</v>
      </c>
      <c r="H44" s="126">
        <f>C30-G44</f>
        <v>1132.4166666666663</v>
      </c>
      <c r="I44" s="127">
        <v>0.55000000000000004</v>
      </c>
    </row>
    <row r="45" spans="1:11">
      <c r="B45" s="109">
        <v>130</v>
      </c>
      <c r="C45" s="117">
        <v>277</v>
      </c>
    </row>
    <row r="46" spans="1:11">
      <c r="B46" s="109">
        <v>140</v>
      </c>
      <c r="C46" s="117">
        <v>279</v>
      </c>
    </row>
    <row r="47" spans="1:11">
      <c r="B47" s="109">
        <v>150</v>
      </c>
      <c r="C47" s="117">
        <v>293</v>
      </c>
    </row>
    <row r="48" spans="1:11">
      <c r="B48" s="109">
        <v>160</v>
      </c>
      <c r="C48" s="117">
        <v>380</v>
      </c>
      <c r="E48" s="122"/>
    </row>
    <row r="49" spans="2:11">
      <c r="B49" s="109">
        <v>170</v>
      </c>
      <c r="C49" s="117">
        <v>381</v>
      </c>
      <c r="E49" s="122"/>
    </row>
    <row r="50" spans="2:11">
      <c r="B50" s="109">
        <v>180</v>
      </c>
      <c r="C50" s="117">
        <v>413</v>
      </c>
      <c r="E50" s="122"/>
    </row>
    <row r="51" spans="2:11">
      <c r="B51" s="109"/>
      <c r="C51" s="117"/>
      <c r="E51" s="122"/>
    </row>
    <row r="52" spans="2:11">
      <c r="C52" s="73"/>
    </row>
    <row r="53" spans="2:11" ht="16" customHeight="1">
      <c r="B53" s="112" t="s">
        <v>26</v>
      </c>
      <c r="C53" s="115"/>
      <c r="D53" s="120"/>
      <c r="E53" s="120"/>
      <c r="F53" s="115"/>
      <c r="G53" s="115"/>
      <c r="H53" s="115"/>
      <c r="I53" s="115"/>
      <c r="J53" s="115"/>
      <c r="K53" s="115"/>
    </row>
    <row r="54" spans="2:11" ht="7" customHeight="1">
      <c r="B54" s="113"/>
      <c r="C54" s="3"/>
      <c r="D54" s="25"/>
      <c r="E54" s="25"/>
      <c r="F54" s="3"/>
    </row>
    <row r="55" spans="2:11" ht="16" customHeight="1">
      <c r="B55" s="108"/>
      <c r="C55" s="121" t="s">
        <v>27</v>
      </c>
      <c r="D55" s="121" t="s">
        <v>5</v>
      </c>
      <c r="E55" s="121" t="s">
        <v>6</v>
      </c>
    </row>
    <row r="56" spans="2:11" ht="16" customHeight="1">
      <c r="B56" s="108" t="s">
        <v>30</v>
      </c>
      <c r="C56" s="111" t="s">
        <v>31</v>
      </c>
      <c r="D56" s="110">
        <v>180</v>
      </c>
      <c r="E56" s="110">
        <f>D56*25.4</f>
        <v>4572</v>
      </c>
      <c r="F56" s="3"/>
      <c r="G56" s="3" t="s">
        <v>32</v>
      </c>
    </row>
    <row r="58" spans="2:11">
      <c r="B58" s="107" t="s">
        <v>33</v>
      </c>
      <c r="C58" s="115"/>
      <c r="D58" s="115"/>
      <c r="E58" s="115"/>
      <c r="F58" s="115"/>
      <c r="G58" s="115"/>
      <c r="H58" s="115"/>
      <c r="I58" s="115"/>
      <c r="J58" s="115"/>
      <c r="K58" s="115"/>
    </row>
    <row r="59" spans="2:11" ht="16" customHeight="1">
      <c r="B59" s="383" t="s">
        <v>115</v>
      </c>
      <c r="C59" s="383"/>
      <c r="D59" s="383"/>
      <c r="E59" s="383"/>
      <c r="F59" s="383"/>
      <c r="G59" s="383"/>
      <c r="H59" s="383"/>
      <c r="I59" s="383"/>
    </row>
    <row r="60" spans="2:11">
      <c r="B60" s="384"/>
      <c r="C60" s="384"/>
      <c r="D60" s="384"/>
      <c r="E60" s="384"/>
      <c r="F60" s="384"/>
      <c r="G60" s="384"/>
      <c r="H60" s="384"/>
      <c r="I60" s="384"/>
    </row>
    <row r="61" spans="2:11">
      <c r="B61" s="35"/>
      <c r="C61" s="35"/>
      <c r="D61" s="35"/>
      <c r="E61" s="35"/>
      <c r="F61" s="35"/>
      <c r="G61" s="35"/>
      <c r="H61" s="35"/>
    </row>
    <row r="62" spans="2:11">
      <c r="B62" s="107" t="s">
        <v>110</v>
      </c>
      <c r="C62" s="115"/>
      <c r="D62" s="115"/>
      <c r="E62" s="115"/>
      <c r="F62" s="115"/>
      <c r="G62" s="115"/>
      <c r="H62" s="115"/>
      <c r="I62" s="115"/>
      <c r="J62" s="115"/>
      <c r="K62" s="115"/>
    </row>
    <row r="63" spans="2:11">
      <c r="B63" s="1" t="s">
        <v>116</v>
      </c>
    </row>
    <row r="64" spans="2:11">
      <c r="B64" s="1" t="s">
        <v>117</v>
      </c>
    </row>
    <row r="65" spans="2:3" ht="10" customHeight="1"/>
    <row r="66" spans="2:3">
      <c r="B66" s="1" t="s">
        <v>63</v>
      </c>
    </row>
    <row r="67" spans="2:3">
      <c r="B67" s="65">
        <f>+C32/2+350</f>
        <v>1734</v>
      </c>
      <c r="C67" s="1" t="s">
        <v>41</v>
      </c>
    </row>
    <row r="68" spans="2:3">
      <c r="B68" s="65">
        <f>+C33+100</f>
        <v>1346.3333333333335</v>
      </c>
      <c r="C68" s="1" t="s">
        <v>42</v>
      </c>
    </row>
    <row r="69" spans="2:3">
      <c r="B69" s="65">
        <v>370</v>
      </c>
      <c r="C69" s="1" t="s">
        <v>23</v>
      </c>
    </row>
    <row r="70" spans="2:3">
      <c r="B70" s="37"/>
    </row>
  </sheetData>
  <mergeCells count="12">
    <mergeCell ref="B59:I60"/>
    <mergeCell ref="A1:K1"/>
    <mergeCell ref="A2:K2"/>
    <mergeCell ref="E29:F29"/>
    <mergeCell ref="H29:K29"/>
    <mergeCell ref="E30:F30"/>
    <mergeCell ref="H30:K30"/>
    <mergeCell ref="B38:C38"/>
    <mergeCell ref="E21:F21"/>
    <mergeCell ref="E31:F31"/>
    <mergeCell ref="H31:K31"/>
    <mergeCell ref="E20:F20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69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08"/>
  <sheetViews>
    <sheetView showGridLines="0" topLeftCell="A2" workbookViewId="0">
      <selection activeCell="C29" sqref="C29"/>
    </sheetView>
  </sheetViews>
  <sheetFormatPr baseColWidth="10" defaultColWidth="10.83203125" defaultRowHeight="16"/>
  <cols>
    <col min="1" max="1" width="10" style="1" customWidth="1"/>
    <col min="2" max="16384" width="10.83203125" style="1"/>
  </cols>
  <sheetData>
    <row r="1" spans="1:11" ht="42" customHeight="1">
      <c r="A1" s="326" t="s">
        <v>126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s="2" customFormat="1" ht="41" customHeight="1">
      <c r="A2" s="327" t="str">
        <f>+ROUND(B29,1)&amp;""""&amp;" "&amp;E29&amp;" Aspect Ratio"</f>
        <v>276.9" 2.4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1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>
      <c r="A4" s="3"/>
      <c r="D4" s="3"/>
      <c r="E4" s="3"/>
      <c r="F4" s="3"/>
      <c r="G4" s="3"/>
      <c r="J4" s="3"/>
      <c r="K4" s="3"/>
    </row>
    <row r="5" spans="1:11">
      <c r="A5" s="3"/>
      <c r="D5" s="3"/>
      <c r="E5" s="187">
        <f>+C29</f>
        <v>7034</v>
      </c>
      <c r="F5" s="3"/>
      <c r="G5" s="3"/>
      <c r="J5" s="3"/>
      <c r="K5" s="3"/>
    </row>
    <row r="6" spans="1:11">
      <c r="A6" s="3"/>
      <c r="D6" s="3"/>
      <c r="E6" s="295">
        <f>+E5/$E$34</f>
        <v>276.92913385826773</v>
      </c>
      <c r="G6" s="3"/>
      <c r="J6" s="3"/>
      <c r="K6" s="3"/>
    </row>
    <row r="7" spans="1:11">
      <c r="A7" s="3"/>
      <c r="D7" s="3"/>
      <c r="E7" s="3"/>
      <c r="F7" s="3"/>
      <c r="G7" s="3"/>
      <c r="J7" s="3"/>
      <c r="K7" s="3"/>
    </row>
    <row r="8" spans="1:11">
      <c r="A8" s="3"/>
      <c r="D8" s="3"/>
      <c r="E8" s="3"/>
      <c r="F8" s="3"/>
      <c r="G8" s="3"/>
      <c r="J8" s="3"/>
      <c r="K8" s="3"/>
    </row>
    <row r="9" spans="1:11">
      <c r="A9" s="3"/>
      <c r="E9" s="3"/>
      <c r="F9" s="3"/>
      <c r="G9" s="3"/>
      <c r="J9" s="3"/>
      <c r="K9" s="3"/>
    </row>
    <row r="10" spans="1:11">
      <c r="A10" s="3"/>
      <c r="D10" s="3"/>
      <c r="E10" s="3"/>
      <c r="F10" s="3"/>
      <c r="G10" s="3"/>
      <c r="J10" s="3"/>
      <c r="K10" s="3"/>
    </row>
    <row r="11" spans="1:11">
      <c r="A11" s="3"/>
      <c r="D11" s="187">
        <f>+C30</f>
        <v>2930.8333333333335</v>
      </c>
      <c r="E11" s="3"/>
      <c r="G11" s="3"/>
      <c r="K11" s="3"/>
    </row>
    <row r="12" spans="1:11">
      <c r="A12" s="3"/>
      <c r="D12" s="296">
        <f>+D11/$E$34</f>
        <v>115.38713910761156</v>
      </c>
      <c r="E12" s="3"/>
      <c r="F12" s="5"/>
      <c r="G12" s="3"/>
      <c r="J12" s="3"/>
      <c r="K12" s="3"/>
    </row>
    <row r="13" spans="1:11">
      <c r="A13" s="3"/>
      <c r="D13" s="3"/>
      <c r="E13" s="3"/>
      <c r="F13" s="3"/>
      <c r="G13" s="3"/>
      <c r="J13" s="6">
        <f>+C32</f>
        <v>2930.8333333333335</v>
      </c>
      <c r="K13" s="3"/>
    </row>
    <row r="14" spans="1:11">
      <c r="A14" s="3"/>
      <c r="D14" s="3"/>
      <c r="E14" s="3"/>
      <c r="F14" s="187">
        <f>+C33</f>
        <v>7620.166666666667</v>
      </c>
      <c r="G14" s="3"/>
      <c r="J14" s="295">
        <f>+J13/$E$34</f>
        <v>115.38713910761156</v>
      </c>
      <c r="K14" s="3"/>
    </row>
    <row r="15" spans="1:11">
      <c r="A15" s="3"/>
      <c r="D15" s="3"/>
      <c r="E15" s="3"/>
      <c r="F15" s="296">
        <f>+F14/$E$34</f>
        <v>300.00656167979008</v>
      </c>
      <c r="G15" s="3"/>
      <c r="J15" s="3"/>
      <c r="K15" s="3"/>
    </row>
    <row r="16" spans="1:11">
      <c r="A16" s="3"/>
      <c r="D16" s="3"/>
      <c r="E16" s="3"/>
      <c r="F16" s="3"/>
      <c r="G16" s="3"/>
      <c r="J16" s="3"/>
      <c r="K16" s="3"/>
    </row>
    <row r="17" spans="1:11">
      <c r="A17" s="3"/>
      <c r="D17" s="3"/>
      <c r="E17" s="3"/>
      <c r="F17" s="3"/>
      <c r="G17" s="3"/>
      <c r="J17" s="3"/>
      <c r="K17" s="3"/>
    </row>
    <row r="18" spans="1:11">
      <c r="A18" s="3"/>
      <c r="D18" s="3"/>
      <c r="E18" s="3"/>
      <c r="F18" s="3"/>
      <c r="G18" s="3"/>
      <c r="J18" s="3"/>
      <c r="K18" s="3"/>
    </row>
    <row r="19" spans="1:11">
      <c r="A19" s="3"/>
      <c r="D19" s="3"/>
      <c r="E19" s="3"/>
      <c r="F19" s="3"/>
      <c r="G19" s="3"/>
      <c r="J19" s="3"/>
      <c r="K19" s="3"/>
    </row>
    <row r="20" spans="1:11">
      <c r="A20" s="3"/>
      <c r="D20" s="3"/>
      <c r="E20" s="3"/>
      <c r="F20" s="3"/>
      <c r="G20" s="3"/>
      <c r="J20" s="3"/>
      <c r="K20" s="3"/>
    </row>
    <row r="21" spans="1:11">
      <c r="A21" s="3"/>
      <c r="D21" s="3"/>
      <c r="E21" s="7"/>
      <c r="F21" s="3"/>
      <c r="G21" s="3"/>
      <c r="J21" s="3"/>
      <c r="K21" s="3"/>
    </row>
    <row r="22" spans="1:11">
      <c r="A22" s="3"/>
      <c r="D22" s="3"/>
      <c r="E22" s="8"/>
      <c r="F22" s="3"/>
      <c r="G22" s="3"/>
      <c r="J22" s="3"/>
      <c r="K22" s="3"/>
    </row>
    <row r="23" spans="1:11">
      <c r="A23" s="3"/>
      <c r="D23" s="3"/>
      <c r="E23" s="3"/>
      <c r="F23" s="3"/>
      <c r="G23" s="3"/>
      <c r="J23" s="3"/>
      <c r="K23" s="3"/>
    </row>
    <row r="24" spans="1:1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>
      <c r="A25" s="3"/>
      <c r="B25" s="3"/>
      <c r="C25" s="3"/>
      <c r="D25" s="3"/>
      <c r="E25" s="3"/>
      <c r="F25" s="3"/>
      <c r="G25" s="3"/>
      <c r="H25" s="3"/>
      <c r="I25" s="3"/>
      <c r="J25" s="3"/>
      <c r="K25" s="187">
        <f>+C34</f>
        <v>40</v>
      </c>
    </row>
    <row r="26" spans="1:11">
      <c r="A26" s="3"/>
      <c r="B26" s="3"/>
      <c r="C26" s="3"/>
      <c r="D26" s="3"/>
      <c r="E26" s="187">
        <f>+C31</f>
        <v>7034</v>
      </c>
      <c r="F26" s="3"/>
      <c r="G26" s="3"/>
      <c r="H26" s="3"/>
      <c r="I26" s="3"/>
      <c r="J26" s="3"/>
      <c r="K26" s="296">
        <f>+K25/$E$34</f>
        <v>1.5748031496062993</v>
      </c>
    </row>
    <row r="27" spans="1:11" ht="15" customHeight="1" thickBot="1">
      <c r="A27" s="3"/>
      <c r="B27" s="3"/>
      <c r="C27" s="3"/>
      <c r="D27" s="3"/>
      <c r="E27" s="296">
        <f>+E26/$E$34</f>
        <v>276.92913385826773</v>
      </c>
      <c r="F27" s="3"/>
      <c r="G27" s="3"/>
      <c r="H27" s="3"/>
      <c r="I27" s="3"/>
      <c r="J27" s="3"/>
    </row>
    <row r="28" spans="1:11">
      <c r="A28" s="9"/>
      <c r="B28" s="10" t="s">
        <v>5</v>
      </c>
      <c r="C28" s="11" t="s">
        <v>6</v>
      </c>
      <c r="D28" s="12" t="s">
        <v>7</v>
      </c>
      <c r="E28" s="328" t="str">
        <f>IF(C30&lt;=2800,"Enlightor NEO","Enlightor NEO-W")</f>
        <v>Enlightor NEO-W</v>
      </c>
      <c r="F28" s="329"/>
      <c r="G28" s="12" t="s">
        <v>8</v>
      </c>
      <c r="H28" s="330">
        <f ca="1">NOW()</f>
        <v>43377.415750578701</v>
      </c>
      <c r="I28" s="330"/>
      <c r="J28" s="330"/>
      <c r="K28" s="331"/>
    </row>
    <row r="29" spans="1:11">
      <c r="A29" s="136" t="s">
        <v>9</v>
      </c>
      <c r="B29" s="297">
        <f t="shared" ref="B29:B34" si="0">+C29/$E$34</f>
        <v>276.92913385826773</v>
      </c>
      <c r="C29" s="15">
        <v>7034</v>
      </c>
      <c r="D29" s="137" t="s">
        <v>10</v>
      </c>
      <c r="E29" s="332">
        <v>2.4</v>
      </c>
      <c r="F29" s="333"/>
      <c r="G29" s="16" t="s">
        <v>11</v>
      </c>
      <c r="H29" s="334"/>
      <c r="I29" s="334"/>
      <c r="J29" s="334"/>
      <c r="K29" s="335"/>
    </row>
    <row r="30" spans="1:11">
      <c r="A30" s="13" t="s">
        <v>12</v>
      </c>
      <c r="B30" s="297">
        <f t="shared" si="0"/>
        <v>115.38713910761156</v>
      </c>
      <c r="C30" s="17">
        <f>C29/E29</f>
        <v>2930.8333333333335</v>
      </c>
      <c r="D30" s="16" t="s">
        <v>13</v>
      </c>
      <c r="E30" s="321" t="s">
        <v>14</v>
      </c>
      <c r="F30" s="322"/>
      <c r="G30" s="16" t="s">
        <v>15</v>
      </c>
      <c r="H30" s="323"/>
      <c r="I30" s="324"/>
      <c r="J30" s="324"/>
      <c r="K30" s="325"/>
    </row>
    <row r="31" spans="1:11">
      <c r="A31" s="13" t="s">
        <v>16</v>
      </c>
      <c r="B31" s="297">
        <f t="shared" si="0"/>
        <v>276.92913385826773</v>
      </c>
      <c r="C31" s="18">
        <f>+C29+(2*E33)</f>
        <v>7034</v>
      </c>
      <c r="D31" s="16" t="s">
        <v>17</v>
      </c>
      <c r="E31" s="19" t="s">
        <v>14</v>
      </c>
      <c r="F31" s="20" t="s">
        <v>18</v>
      </c>
      <c r="G31" s="3"/>
      <c r="H31" s="3"/>
      <c r="I31" s="3"/>
      <c r="J31" s="3"/>
      <c r="K31" s="21"/>
    </row>
    <row r="32" spans="1:11">
      <c r="A32" s="13" t="s">
        <v>19</v>
      </c>
      <c r="B32" s="297">
        <f t="shared" si="0"/>
        <v>115.38713910761156</v>
      </c>
      <c r="C32" s="18">
        <f>+C30+(2*E33)</f>
        <v>2930.8333333333335</v>
      </c>
      <c r="D32" s="22" t="s">
        <v>20</v>
      </c>
      <c r="E32" s="23" t="s">
        <v>14</v>
      </c>
      <c r="F32" s="24"/>
      <c r="G32" s="25"/>
      <c r="H32" s="25"/>
      <c r="I32" s="25"/>
      <c r="J32" s="25"/>
      <c r="K32" s="26"/>
    </row>
    <row r="33" spans="1:11">
      <c r="A33" s="13" t="s">
        <v>21</v>
      </c>
      <c r="B33" s="297">
        <f t="shared" si="0"/>
        <v>300.00656167979008</v>
      </c>
      <c r="C33" s="18">
        <f>SQRT((C29^2)+(C30^2))</f>
        <v>7620.166666666667</v>
      </c>
      <c r="D33" s="22" t="s">
        <v>22</v>
      </c>
      <c r="E33" s="27">
        <v>0</v>
      </c>
      <c r="F33" s="24"/>
      <c r="G33" s="25"/>
      <c r="H33" s="25"/>
      <c r="I33" s="25"/>
      <c r="J33" s="25"/>
      <c r="K33" s="26"/>
    </row>
    <row r="34" spans="1:11" ht="16" customHeight="1" thickBot="1">
      <c r="A34" s="28" t="s">
        <v>23</v>
      </c>
      <c r="B34" s="298">
        <f t="shared" si="0"/>
        <v>1.5748031496062993</v>
      </c>
      <c r="C34" s="30">
        <f>IF(C29&gt;3558, 40, 30)</f>
        <v>40</v>
      </c>
      <c r="D34" s="31" t="s">
        <v>24</v>
      </c>
      <c r="E34" s="32">
        <v>25.4</v>
      </c>
      <c r="F34" s="33"/>
      <c r="G34" s="33"/>
      <c r="H34" s="33"/>
      <c r="I34" s="33"/>
      <c r="J34" s="33"/>
      <c r="K34" s="34" t="s">
        <v>25</v>
      </c>
    </row>
    <row r="35" spans="1:11" ht="16" customHeight="1">
      <c r="D35" s="3"/>
      <c r="E35" s="3"/>
    </row>
    <row r="36" spans="1:11" ht="16" customHeight="1">
      <c r="B36" s="112" t="s">
        <v>26</v>
      </c>
      <c r="C36" s="115"/>
      <c r="D36" s="120"/>
      <c r="E36" s="120"/>
      <c r="F36" s="115"/>
      <c r="G36" s="115"/>
      <c r="H36" s="115"/>
      <c r="I36" s="115"/>
      <c r="J36" s="115"/>
      <c r="K36" s="115"/>
    </row>
    <row r="37" spans="1:11" ht="7" customHeight="1">
      <c r="B37" s="113"/>
      <c r="C37" s="3"/>
      <c r="D37" s="25"/>
      <c r="E37" s="25"/>
      <c r="F37" s="3"/>
    </row>
    <row r="38" spans="1:11" ht="16" customHeight="1">
      <c r="B38" s="108"/>
      <c r="C38" s="121" t="s">
        <v>27</v>
      </c>
      <c r="D38" s="121" t="s">
        <v>5</v>
      </c>
      <c r="E38" s="121" t="s">
        <v>6</v>
      </c>
    </row>
    <row r="39" spans="1:11" ht="16" customHeight="1">
      <c r="B39" s="108" t="s">
        <v>28</v>
      </c>
      <c r="C39" s="111" t="s">
        <v>29</v>
      </c>
      <c r="D39" s="110">
        <v>200</v>
      </c>
      <c r="E39" s="110">
        <f>D39*25.4</f>
        <v>5080</v>
      </c>
      <c r="F39" s="3"/>
    </row>
    <row r="40" spans="1:11" ht="16" customHeight="1">
      <c r="B40" s="108" t="s">
        <v>30</v>
      </c>
      <c r="C40" s="111" t="s">
        <v>31</v>
      </c>
      <c r="D40" s="110">
        <v>280</v>
      </c>
      <c r="E40" s="110">
        <f>D40*25.4</f>
        <v>7112</v>
      </c>
      <c r="G40" s="3" t="s">
        <v>32</v>
      </c>
    </row>
    <row r="41" spans="1:11" ht="16" customHeight="1"/>
    <row r="42" spans="1:11" ht="16" customHeight="1">
      <c r="B42" s="107" t="s">
        <v>33</v>
      </c>
      <c r="C42" s="115"/>
      <c r="D42" s="115"/>
      <c r="E42" s="115"/>
      <c r="F42" s="115"/>
      <c r="G42" s="115"/>
      <c r="H42" s="115"/>
      <c r="I42" s="115"/>
      <c r="J42" s="115"/>
      <c r="K42" s="115"/>
    </row>
    <row r="43" spans="1:11" ht="16" customHeight="1">
      <c r="B43" s="35" t="s">
        <v>34</v>
      </c>
      <c r="C43" s="35"/>
      <c r="D43" s="35"/>
      <c r="E43" s="35"/>
      <c r="F43" s="35"/>
      <c r="G43" s="35"/>
      <c r="H43" s="35"/>
    </row>
    <row r="44" spans="1:11">
      <c r="B44" s="35" t="s">
        <v>35</v>
      </c>
      <c r="C44" s="35"/>
      <c r="D44" s="35"/>
      <c r="E44" s="35"/>
      <c r="F44" s="35"/>
      <c r="G44" s="35"/>
      <c r="H44" s="35"/>
    </row>
    <row r="45" spans="1:11">
      <c r="B45" s="35" t="s">
        <v>147</v>
      </c>
      <c r="C45" s="35"/>
      <c r="D45" s="35"/>
      <c r="E45" s="35"/>
      <c r="F45" s="35"/>
      <c r="G45" s="35"/>
      <c r="H45" s="35"/>
    </row>
    <row r="46" spans="1:11">
      <c r="B46" s="35"/>
      <c r="C46" s="35"/>
      <c r="D46" s="35"/>
      <c r="E46" s="35"/>
      <c r="F46" s="35"/>
      <c r="G46" s="35"/>
      <c r="H46" s="35"/>
    </row>
    <row r="47" spans="1:11" ht="10" customHeight="1">
      <c r="B47" s="35"/>
      <c r="C47" s="35"/>
      <c r="D47" s="35"/>
      <c r="E47" s="35"/>
      <c r="F47" s="35"/>
      <c r="G47" s="35"/>
      <c r="H47" s="35"/>
    </row>
    <row r="48" spans="1:11">
      <c r="B48" s="107" t="s">
        <v>38</v>
      </c>
      <c r="C48" s="115"/>
      <c r="D48" s="115"/>
      <c r="E48" s="115"/>
      <c r="F48" s="115"/>
      <c r="G48" s="115"/>
      <c r="H48" s="115"/>
      <c r="I48" s="115"/>
      <c r="J48" s="115"/>
      <c r="K48" s="115"/>
    </row>
    <row r="49" spans="2:3">
      <c r="B49" s="1" t="s">
        <v>162</v>
      </c>
    </row>
    <row r="50" spans="2:3">
      <c r="B50" s="1" t="s">
        <v>40</v>
      </c>
    </row>
    <row r="51" spans="2:3" ht="8" customHeight="1"/>
    <row r="52" spans="2:3">
      <c r="B52" s="65">
        <f>(+E26/2)+350</f>
        <v>3867</v>
      </c>
      <c r="C52" s="1" t="s">
        <v>41</v>
      </c>
    </row>
    <row r="53" spans="2:3">
      <c r="B53" s="36">
        <v>250</v>
      </c>
      <c r="C53" s="1" t="s">
        <v>42</v>
      </c>
    </row>
    <row r="54" spans="2:3">
      <c r="B54" s="36">
        <v>200</v>
      </c>
      <c r="C54" s="1" t="s">
        <v>43</v>
      </c>
    </row>
    <row r="55" spans="2:3">
      <c r="B55" s="37"/>
    </row>
    <row r="56" spans="2:3">
      <c r="B56" s="37"/>
    </row>
    <row r="57" spans="2:3">
      <c r="B57" s="37"/>
    </row>
    <row r="58" spans="2:3">
      <c r="B58" s="37"/>
    </row>
    <row r="59" spans="2:3">
      <c r="B59" s="37"/>
    </row>
    <row r="60" spans="2:3">
      <c r="B60" s="37"/>
    </row>
    <row r="61" spans="2:3">
      <c r="B61" s="37"/>
    </row>
    <row r="62" spans="2:3">
      <c r="B62" s="37"/>
    </row>
    <row r="63" spans="2:3">
      <c r="B63" s="37"/>
    </row>
    <row r="64" spans="2:3">
      <c r="B64" s="37"/>
    </row>
    <row r="65" spans="2:2">
      <c r="B65" s="37"/>
    </row>
    <row r="66" spans="2:2">
      <c r="B66" s="37"/>
    </row>
    <row r="67" spans="2:2">
      <c r="B67" s="37"/>
    </row>
    <row r="68" spans="2:2">
      <c r="B68" s="37"/>
    </row>
    <row r="69" spans="2:2">
      <c r="B69" s="37"/>
    </row>
    <row r="70" spans="2:2">
      <c r="B70" s="37"/>
    </row>
    <row r="71" spans="2:2">
      <c r="B71" s="37"/>
    </row>
    <row r="72" spans="2:2">
      <c r="B72" s="37"/>
    </row>
    <row r="73" spans="2:2">
      <c r="B73" s="37"/>
    </row>
    <row r="74" spans="2:2">
      <c r="B74" s="37"/>
    </row>
    <row r="75" spans="2:2">
      <c r="B75" s="37"/>
    </row>
    <row r="76" spans="2:2">
      <c r="B76" s="37"/>
    </row>
    <row r="77" spans="2:2">
      <c r="B77" s="37"/>
    </row>
    <row r="78" spans="2:2">
      <c r="B78" s="37"/>
    </row>
    <row r="79" spans="2:2">
      <c r="B79" s="37"/>
    </row>
    <row r="80" spans="2:2">
      <c r="B80" s="37"/>
    </row>
    <row r="81" spans="2:2">
      <c r="B81" s="37"/>
    </row>
    <row r="82" spans="2:2">
      <c r="B82" s="37"/>
    </row>
    <row r="83" spans="2:2">
      <c r="B83" s="37"/>
    </row>
    <row r="84" spans="2:2">
      <c r="B84" s="37"/>
    </row>
    <row r="85" spans="2:2">
      <c r="B85" s="37"/>
    </row>
    <row r="86" spans="2:2">
      <c r="B86" s="37"/>
    </row>
    <row r="87" spans="2:2">
      <c r="B87" s="37"/>
    </row>
    <row r="88" spans="2:2">
      <c r="B88" s="37"/>
    </row>
    <row r="89" spans="2:2">
      <c r="B89" s="37"/>
    </row>
    <row r="90" spans="2:2">
      <c r="B90" s="37"/>
    </row>
    <row r="91" spans="2:2">
      <c r="B91" s="37"/>
    </row>
    <row r="92" spans="2:2">
      <c r="B92" s="37"/>
    </row>
    <row r="93" spans="2:2">
      <c r="B93" s="37"/>
    </row>
    <row r="94" spans="2:2">
      <c r="B94" s="37"/>
    </row>
    <row r="95" spans="2:2">
      <c r="B95" s="37"/>
    </row>
    <row r="96" spans="2:2">
      <c r="B96" s="37"/>
    </row>
    <row r="97" spans="2:2">
      <c r="B97" s="37"/>
    </row>
    <row r="98" spans="2:2">
      <c r="B98" s="37"/>
    </row>
    <row r="99" spans="2:2">
      <c r="B99" s="37"/>
    </row>
    <row r="100" spans="2:2">
      <c r="B100" s="37"/>
    </row>
    <row r="101" spans="2:2">
      <c r="B101" s="37"/>
    </row>
    <row r="102" spans="2:2">
      <c r="B102" s="37"/>
    </row>
    <row r="103" spans="2:2">
      <c r="B103" s="37"/>
    </row>
    <row r="104" spans="2:2">
      <c r="B104" s="37"/>
    </row>
    <row r="105" spans="2:2">
      <c r="B105" s="37"/>
    </row>
    <row r="106" spans="2:2">
      <c r="B106" s="37"/>
    </row>
    <row r="107" spans="2:2">
      <c r="B107" s="37"/>
    </row>
    <row r="108" spans="2:2">
      <c r="B108" s="37"/>
    </row>
  </sheetData>
  <mergeCells count="8"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75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53"/>
  <sheetViews>
    <sheetView showGridLines="0" workbookViewId="0">
      <selection activeCell="I40" sqref="I40"/>
    </sheetView>
  </sheetViews>
  <sheetFormatPr baseColWidth="10" defaultColWidth="10.83203125" defaultRowHeight="16"/>
  <cols>
    <col min="1" max="1" width="10" style="1" customWidth="1"/>
    <col min="2" max="16384" width="10.83203125" style="1"/>
  </cols>
  <sheetData>
    <row r="1" spans="1:11" ht="38" customHeight="1">
      <c r="A1" s="326" t="s">
        <v>118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s="2" customFormat="1" ht="38" customHeight="1">
      <c r="A2" s="327" t="str">
        <f>+ROUND(B29,0)&amp;""""&amp;" "&amp;E29&amp;" Aspect Ratio"</f>
        <v>100" 2.07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1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>
      <c r="A4" s="3"/>
      <c r="B4" s="75"/>
      <c r="C4" s="75"/>
      <c r="D4" s="75"/>
      <c r="E4" s="75"/>
      <c r="F4" s="75"/>
      <c r="G4" s="75"/>
      <c r="H4" s="75"/>
      <c r="I4" s="75"/>
      <c r="J4" s="3"/>
      <c r="K4" s="3"/>
    </row>
    <row r="5" spans="1:11">
      <c r="A5" s="3"/>
      <c r="B5" s="75"/>
      <c r="C5" s="75"/>
      <c r="D5" s="75"/>
      <c r="E5" s="75"/>
      <c r="F5" s="75"/>
      <c r="G5" s="75"/>
      <c r="H5" s="75"/>
      <c r="I5" s="75"/>
      <c r="J5" s="3"/>
      <c r="K5" s="3"/>
    </row>
    <row r="6" spans="1:11">
      <c r="A6" s="3"/>
      <c r="B6" s="75"/>
      <c r="C6" s="75"/>
      <c r="D6" s="75"/>
      <c r="E6" s="75"/>
      <c r="F6" s="75"/>
      <c r="G6" s="75"/>
      <c r="H6" s="75"/>
      <c r="I6" s="75"/>
      <c r="J6" s="3"/>
      <c r="K6" s="3"/>
    </row>
    <row r="7" spans="1:11">
      <c r="A7" s="3"/>
      <c r="B7" s="75"/>
      <c r="D7" s="3"/>
      <c r="E7" s="3"/>
      <c r="F7" s="3"/>
      <c r="G7" s="3"/>
      <c r="I7" s="75"/>
      <c r="J7" s="3"/>
      <c r="K7" s="3"/>
    </row>
    <row r="8" spans="1:11">
      <c r="A8" s="3"/>
      <c r="B8" s="75"/>
      <c r="D8" s="3"/>
      <c r="F8" s="186">
        <f>+C29</f>
        <v>2540</v>
      </c>
      <c r="G8" s="3"/>
      <c r="I8" s="75"/>
      <c r="J8" s="3"/>
      <c r="K8" s="3"/>
    </row>
    <row r="9" spans="1:11">
      <c r="A9" s="3"/>
      <c r="B9" s="75"/>
      <c r="F9" s="4">
        <f>+F8/$E$34</f>
        <v>100</v>
      </c>
      <c r="G9" s="3"/>
      <c r="I9" s="75"/>
      <c r="J9" s="3"/>
      <c r="K9" s="3"/>
    </row>
    <row r="10" spans="1:11">
      <c r="A10" s="3"/>
      <c r="B10" s="75"/>
      <c r="D10" s="3"/>
      <c r="E10" s="3"/>
      <c r="F10" s="3"/>
      <c r="G10" s="3"/>
      <c r="I10" s="75"/>
      <c r="J10" s="3"/>
      <c r="K10" s="3"/>
    </row>
    <row r="11" spans="1:11">
      <c r="A11" s="3"/>
      <c r="B11" s="75"/>
      <c r="D11" s="186">
        <f>+C30</f>
        <v>1227.0531400966186</v>
      </c>
      <c r="E11" s="3"/>
      <c r="G11" s="3"/>
      <c r="I11" s="75"/>
      <c r="K11" s="3"/>
    </row>
    <row r="12" spans="1:11">
      <c r="A12" s="3"/>
      <c r="B12" s="75"/>
      <c r="D12" s="185">
        <f>+D11/$E$34</f>
        <v>48.309178743961361</v>
      </c>
      <c r="E12" s="3"/>
      <c r="F12" s="5"/>
      <c r="G12" s="3"/>
      <c r="I12" s="75"/>
      <c r="J12" s="3"/>
      <c r="K12" s="3"/>
    </row>
    <row r="13" spans="1:11">
      <c r="A13" s="3"/>
      <c r="B13" s="75"/>
      <c r="D13" s="3"/>
      <c r="E13" s="3"/>
      <c r="F13" s="3"/>
      <c r="G13" s="3"/>
      <c r="H13" s="76"/>
      <c r="I13" s="75"/>
      <c r="J13" s="6">
        <f>+C32</f>
        <v>1471.0531400966186</v>
      </c>
      <c r="K13" s="3"/>
    </row>
    <row r="14" spans="1:11">
      <c r="A14" s="3"/>
      <c r="B14" s="75"/>
      <c r="D14" s="3"/>
      <c r="E14" s="3"/>
      <c r="F14" s="186">
        <f>+C33</f>
        <v>2820.8614656911054</v>
      </c>
      <c r="G14" s="3"/>
      <c r="H14" s="185"/>
      <c r="I14" s="75"/>
      <c r="J14" s="4">
        <f>+J13/$E$34</f>
        <v>57.915477956559791</v>
      </c>
      <c r="K14" s="3"/>
    </row>
    <row r="15" spans="1:11">
      <c r="A15" s="3"/>
      <c r="B15" s="75"/>
      <c r="D15" s="3"/>
      <c r="E15" s="3"/>
      <c r="F15" s="185">
        <f>+F14/$E$34</f>
        <v>111.05753801933487</v>
      </c>
      <c r="G15" s="3"/>
      <c r="I15" s="75"/>
      <c r="J15" s="3"/>
      <c r="K15" s="3"/>
    </row>
    <row r="16" spans="1:11">
      <c r="A16" s="3"/>
      <c r="B16" s="75"/>
      <c r="D16" s="3"/>
      <c r="E16" s="3"/>
      <c r="F16" s="3"/>
      <c r="G16" s="3"/>
      <c r="I16" s="75"/>
      <c r="J16" s="3"/>
      <c r="K16" s="3"/>
    </row>
    <row r="17" spans="1:14">
      <c r="A17" s="3"/>
      <c r="B17" s="75"/>
      <c r="D17" s="3"/>
      <c r="E17" s="3"/>
      <c r="F17" s="3"/>
      <c r="G17" s="3"/>
      <c r="I17" s="75"/>
      <c r="J17" s="3"/>
      <c r="K17" s="3"/>
    </row>
    <row r="18" spans="1:14">
      <c r="A18" s="3"/>
      <c r="B18" s="75"/>
      <c r="D18" s="3"/>
      <c r="E18" s="3"/>
      <c r="F18" s="3"/>
      <c r="G18" s="3"/>
      <c r="I18" s="75"/>
      <c r="J18" s="3"/>
      <c r="K18" s="3"/>
    </row>
    <row r="19" spans="1:14">
      <c r="A19" s="3"/>
      <c r="B19" s="75"/>
      <c r="D19" s="3"/>
      <c r="E19" s="7"/>
      <c r="F19" s="3"/>
      <c r="G19" s="3"/>
      <c r="I19" s="75"/>
      <c r="J19" s="3"/>
      <c r="K19" s="3"/>
    </row>
    <row r="20" spans="1:14">
      <c r="A20" s="3"/>
      <c r="B20" s="75"/>
      <c r="D20" s="3"/>
      <c r="E20" s="8"/>
      <c r="F20" s="3"/>
      <c r="G20" s="3"/>
      <c r="I20" s="75"/>
      <c r="J20" s="3"/>
      <c r="K20" s="3"/>
    </row>
    <row r="21" spans="1:14">
      <c r="A21" s="3"/>
      <c r="B21" s="75"/>
      <c r="C21" s="75"/>
      <c r="D21" s="75"/>
      <c r="E21" s="75"/>
      <c r="F21" s="75"/>
      <c r="G21" s="75"/>
      <c r="H21" s="75"/>
      <c r="I21" s="75"/>
      <c r="J21" s="3"/>
      <c r="K21" s="3"/>
    </row>
    <row r="22" spans="1:14">
      <c r="A22" s="3"/>
      <c r="B22" s="75"/>
      <c r="C22" s="75"/>
      <c r="D22" s="75"/>
      <c r="E22" s="75"/>
      <c r="F22" s="75"/>
      <c r="G22" s="75"/>
      <c r="H22" s="75"/>
      <c r="I22" s="75"/>
      <c r="J22" s="3"/>
      <c r="K22" s="3"/>
    </row>
    <row r="23" spans="1:14">
      <c r="A23" s="3"/>
      <c r="B23" s="75"/>
      <c r="C23" s="75"/>
      <c r="D23" s="75"/>
      <c r="E23" s="75"/>
      <c r="F23" s="75"/>
      <c r="G23" s="75"/>
      <c r="H23" s="75"/>
      <c r="I23" s="75"/>
      <c r="J23" s="3"/>
      <c r="K23" s="3"/>
    </row>
    <row r="24" spans="1:1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4">
      <c r="A25" s="3"/>
      <c r="B25" s="3"/>
      <c r="C25" s="3"/>
      <c r="D25" s="3"/>
      <c r="E25" s="3"/>
      <c r="F25" s="3"/>
      <c r="G25" s="3"/>
      <c r="H25" s="3"/>
      <c r="I25" s="3"/>
      <c r="J25" s="3"/>
      <c r="K25" s="186">
        <f>+C34</f>
        <v>147</v>
      </c>
    </row>
    <row r="26" spans="1:14">
      <c r="A26" s="3"/>
      <c r="B26" s="3"/>
      <c r="C26" s="3"/>
      <c r="D26" s="3"/>
      <c r="E26" s="77">
        <f>+C31</f>
        <v>2743</v>
      </c>
      <c r="F26" s="3"/>
      <c r="G26" s="3"/>
      <c r="H26" s="3"/>
      <c r="I26" s="3"/>
      <c r="J26" s="3"/>
      <c r="K26" s="185">
        <f>+K25/$E$34</f>
        <v>5.78740157480315</v>
      </c>
    </row>
    <row r="27" spans="1:14" ht="17" thickBot="1">
      <c r="A27" s="3"/>
      <c r="B27" s="3"/>
      <c r="C27" s="3"/>
      <c r="D27" s="3"/>
      <c r="E27" s="185">
        <f>+E26/$E$34</f>
        <v>107.99212598425197</v>
      </c>
      <c r="F27" s="3"/>
      <c r="G27" s="3"/>
      <c r="H27" s="3"/>
      <c r="I27" s="3"/>
      <c r="J27" s="3"/>
    </row>
    <row r="28" spans="1:14">
      <c r="A28" s="9"/>
      <c r="B28" s="10" t="s">
        <v>5</v>
      </c>
      <c r="C28" s="11" t="s">
        <v>6</v>
      </c>
      <c r="D28" s="12" t="s">
        <v>7</v>
      </c>
      <c r="E28" s="328" t="str">
        <f>IF(C30&lt;=2800,"Enlightor NEO","Enlightor NEO-W")</f>
        <v>Enlightor NEO</v>
      </c>
      <c r="F28" s="329"/>
      <c r="G28" s="12" t="s">
        <v>8</v>
      </c>
      <c r="H28" s="330">
        <f ca="1">NOW()</f>
        <v>43377.415750578701</v>
      </c>
      <c r="I28" s="330"/>
      <c r="J28" s="330"/>
      <c r="K28" s="331"/>
    </row>
    <row r="29" spans="1:14">
      <c r="A29" s="136" t="s">
        <v>9</v>
      </c>
      <c r="B29" s="49">
        <f t="shared" ref="B29:B34" si="0">+C29/$E$34</f>
        <v>100</v>
      </c>
      <c r="C29" s="15">
        <v>2540</v>
      </c>
      <c r="D29" s="137" t="s">
        <v>10</v>
      </c>
      <c r="E29" s="332">
        <v>2.0699999999999998</v>
      </c>
      <c r="F29" s="333"/>
      <c r="G29" s="16" t="s">
        <v>11</v>
      </c>
      <c r="H29" s="334"/>
      <c r="I29" s="334"/>
      <c r="J29" s="334"/>
      <c r="K29" s="335"/>
      <c r="N29" s="106"/>
    </row>
    <row r="30" spans="1:14">
      <c r="A30" s="13" t="s">
        <v>12</v>
      </c>
      <c r="B30" s="49">
        <f t="shared" si="0"/>
        <v>48.309178743961361</v>
      </c>
      <c r="C30" s="17">
        <f>+C29/E29</f>
        <v>1227.0531400966186</v>
      </c>
      <c r="D30" s="16" t="s">
        <v>13</v>
      </c>
      <c r="E30" s="365" t="s">
        <v>119</v>
      </c>
      <c r="F30" s="366"/>
      <c r="G30" s="16" t="s">
        <v>15</v>
      </c>
      <c r="H30" s="323"/>
      <c r="I30" s="324"/>
      <c r="J30" s="324"/>
      <c r="K30" s="325"/>
    </row>
    <row r="31" spans="1:14">
      <c r="A31" s="13" t="s">
        <v>16</v>
      </c>
      <c r="B31" s="49">
        <f t="shared" si="0"/>
        <v>107.99212598425197</v>
      </c>
      <c r="C31" s="18">
        <f>+C29+(2*E33)+15</f>
        <v>2743</v>
      </c>
      <c r="D31" s="16" t="s">
        <v>88</v>
      </c>
      <c r="E31" s="53"/>
      <c r="F31" s="20" t="s">
        <v>18</v>
      </c>
      <c r="G31" s="3"/>
      <c r="H31" s="3"/>
      <c r="I31" s="3"/>
      <c r="J31" s="3"/>
      <c r="K31" s="21"/>
    </row>
    <row r="32" spans="1:14">
      <c r="A32" s="13" t="s">
        <v>19</v>
      </c>
      <c r="B32" s="49">
        <f t="shared" si="0"/>
        <v>57.915477956559791</v>
      </c>
      <c r="C32" s="18">
        <f>+C30+(2*E33)+56</f>
        <v>1471.0531400966186</v>
      </c>
      <c r="D32" s="22" t="s">
        <v>20</v>
      </c>
      <c r="E32" s="78" t="s">
        <v>72</v>
      </c>
      <c r="F32" s="24"/>
      <c r="G32" s="25"/>
      <c r="H32" s="25"/>
      <c r="I32" s="25"/>
      <c r="J32" s="25"/>
      <c r="K32" s="26"/>
    </row>
    <row r="33" spans="1:11">
      <c r="A33" s="13" t="s">
        <v>21</v>
      </c>
      <c r="B33" s="49">
        <f t="shared" si="0"/>
        <v>111.05753801933487</v>
      </c>
      <c r="C33" s="18">
        <f>SQRT((C29^2)+(C30^2))</f>
        <v>2820.8614656911054</v>
      </c>
      <c r="D33" s="22" t="s">
        <v>22</v>
      </c>
      <c r="E33" s="52">
        <v>94</v>
      </c>
      <c r="F33" s="24"/>
      <c r="G33" s="25"/>
      <c r="H33" s="25"/>
      <c r="I33" s="25"/>
      <c r="J33" s="25"/>
      <c r="K33" s="26"/>
    </row>
    <row r="34" spans="1:11" ht="17" thickBot="1">
      <c r="A34" s="28" t="s">
        <v>23</v>
      </c>
      <c r="B34" s="60">
        <f t="shared" si="0"/>
        <v>5.78740157480315</v>
      </c>
      <c r="C34" s="74">
        <v>147</v>
      </c>
      <c r="D34" s="31" t="s">
        <v>24</v>
      </c>
      <c r="E34" s="63">
        <v>25.4</v>
      </c>
      <c r="F34" s="33"/>
      <c r="G34" s="33"/>
      <c r="H34" s="33"/>
      <c r="I34" s="33"/>
      <c r="J34" s="33"/>
      <c r="K34" s="72" t="s">
        <v>59</v>
      </c>
    </row>
    <row r="36" spans="1:11">
      <c r="B36" s="37"/>
      <c r="C36" s="65"/>
      <c r="D36" s="65"/>
      <c r="E36" s="79"/>
      <c r="F36" s="79"/>
      <c r="G36" s="80"/>
    </row>
    <row r="37" spans="1:11" ht="16" customHeight="1">
      <c r="B37" s="112" t="s">
        <v>26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ht="7" customHeight="1">
      <c r="B38" s="113"/>
      <c r="C38" s="3"/>
      <c r="D38" s="25"/>
      <c r="E38" s="25"/>
      <c r="F38" s="3"/>
    </row>
    <row r="39" spans="1:11" ht="16" customHeight="1">
      <c r="B39" s="164" t="s">
        <v>47</v>
      </c>
      <c r="D39" s="364" t="s">
        <v>27</v>
      </c>
      <c r="E39" s="364"/>
      <c r="F39" s="184" t="s">
        <v>5</v>
      </c>
      <c r="G39" s="184" t="s">
        <v>6</v>
      </c>
    </row>
    <row r="40" spans="1:11" ht="16" customHeight="1">
      <c r="B40" s="1" t="s">
        <v>50</v>
      </c>
      <c r="D40" s="162"/>
      <c r="E40" s="163">
        <v>2.0699999999999998</v>
      </c>
      <c r="F40" s="110">
        <v>180</v>
      </c>
      <c r="G40" s="93">
        <f>F40*25.4</f>
        <v>4572</v>
      </c>
    </row>
    <row r="41" spans="1:11">
      <c r="B41" s="178" t="s">
        <v>120</v>
      </c>
    </row>
    <row r="43" spans="1:11">
      <c r="B43" s="107" t="s">
        <v>33</v>
      </c>
      <c r="C43" s="115"/>
      <c r="D43" s="115"/>
      <c r="E43" s="115"/>
      <c r="F43" s="115"/>
      <c r="G43" s="115"/>
      <c r="H43" s="115"/>
      <c r="I43" s="115"/>
      <c r="J43" s="115"/>
      <c r="K43" s="115"/>
    </row>
    <row r="44" spans="1:11">
      <c r="B44" s="35" t="s">
        <v>99</v>
      </c>
      <c r="C44" s="35"/>
      <c r="D44" s="35"/>
      <c r="E44" s="35"/>
      <c r="F44" s="35"/>
      <c r="G44" s="35"/>
      <c r="H44" s="35"/>
      <c r="I44" s="35"/>
      <c r="J44" s="35"/>
      <c r="K44" s="35"/>
    </row>
    <row r="45" spans="1:11">
      <c r="B45" s="35"/>
      <c r="C45" s="35"/>
      <c r="D45" s="35"/>
      <c r="E45" s="35"/>
      <c r="F45" s="35"/>
      <c r="G45" s="35"/>
      <c r="H45" s="35"/>
      <c r="I45" s="35"/>
      <c r="J45" s="35"/>
      <c r="K45" s="35"/>
    </row>
    <row r="46" spans="1:11">
      <c r="B46" s="107" t="s">
        <v>61</v>
      </c>
      <c r="C46" s="115"/>
      <c r="D46" s="115"/>
      <c r="E46" s="115"/>
      <c r="F46" s="115"/>
      <c r="G46" s="115"/>
      <c r="H46" s="115"/>
      <c r="I46" s="115"/>
      <c r="J46" s="115"/>
      <c r="K46" s="115"/>
    </row>
    <row r="47" spans="1:11">
      <c r="B47" s="1" t="s">
        <v>121</v>
      </c>
    </row>
    <row r="48" spans="1:11">
      <c r="B48" s="1" t="s">
        <v>122</v>
      </c>
    </row>
    <row r="49" spans="2:3">
      <c r="B49" s="1" t="s">
        <v>63</v>
      </c>
    </row>
    <row r="50" spans="2:3">
      <c r="B50" s="65">
        <f>+(C31)+200</f>
        <v>2943</v>
      </c>
      <c r="C50" s="1" t="s">
        <v>41</v>
      </c>
    </row>
    <row r="51" spans="2:3">
      <c r="B51" s="65">
        <f>(C32)+100</f>
        <v>1571.0531400966186</v>
      </c>
      <c r="C51" s="1" t="s">
        <v>42</v>
      </c>
    </row>
    <row r="52" spans="2:3">
      <c r="B52" s="65">
        <v>370</v>
      </c>
      <c r="C52" s="1" t="s">
        <v>43</v>
      </c>
    </row>
    <row r="53" spans="2:3">
      <c r="B53" s="37"/>
    </row>
  </sheetData>
  <mergeCells count="9">
    <mergeCell ref="E30:F30"/>
    <mergeCell ref="H30:K30"/>
    <mergeCell ref="D39:E39"/>
    <mergeCell ref="A1:K1"/>
    <mergeCell ref="A2:K2"/>
    <mergeCell ref="E28:F28"/>
    <mergeCell ref="H28:K28"/>
    <mergeCell ref="E29:F29"/>
    <mergeCell ref="H29:K29"/>
  </mergeCells>
  <printOptions horizontalCentered="1" verticalCentered="1"/>
  <pageMargins left="0.39000000000000007" right="0.39000000000000007" top="0.39000000000000007" bottom="0.39000000000000007" header="0" footer="0"/>
  <pageSetup paperSize="9" scale="69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52"/>
  <sheetViews>
    <sheetView showGridLines="0" tabSelected="1" workbookViewId="0">
      <selection activeCell="N37" sqref="N37"/>
    </sheetView>
  </sheetViews>
  <sheetFormatPr baseColWidth="10" defaultColWidth="10.83203125" defaultRowHeight="16"/>
  <cols>
    <col min="1" max="1" width="10" style="38" customWidth="1"/>
    <col min="2" max="16384" width="10.83203125" style="38"/>
  </cols>
  <sheetData>
    <row r="1" spans="1:11" ht="35" customHeight="1">
      <c r="A1" s="345" t="s">
        <v>123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</row>
    <row r="2" spans="1:11" s="39" customFormat="1" ht="35" customHeight="1">
      <c r="A2" s="346" t="str">
        <f>+ROUND(B30,0)&amp;""""&amp;" "&amp;ROUND(E30,2)&amp;" Aspect Ratio"</f>
        <v>277" 1.78 Aspect Ratio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</row>
    <row r="3" spans="1:1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>
      <c r="A4" s="40"/>
      <c r="D4" s="40"/>
      <c r="E4" s="40"/>
      <c r="F4" s="40"/>
      <c r="G4" s="40"/>
      <c r="J4" s="40"/>
      <c r="K4" s="40"/>
    </row>
    <row r="5" spans="1:11">
      <c r="A5" s="40"/>
      <c r="D5" s="40"/>
      <c r="E5" s="186">
        <f>+C30</f>
        <v>7034</v>
      </c>
      <c r="F5" s="40"/>
      <c r="G5" s="40"/>
      <c r="J5" s="40"/>
      <c r="K5" s="40"/>
    </row>
    <row r="6" spans="1:11">
      <c r="A6" s="40"/>
      <c r="D6" s="40"/>
      <c r="E6" s="4">
        <f>+E5/$E$35</f>
        <v>276.92913385826773</v>
      </c>
      <c r="G6" s="40"/>
      <c r="J6" s="40"/>
      <c r="K6" s="40"/>
    </row>
    <row r="7" spans="1:11">
      <c r="A7" s="40"/>
      <c r="D7" s="40"/>
      <c r="E7" s="40"/>
      <c r="F7" s="40"/>
      <c r="G7" s="40"/>
      <c r="J7" s="40"/>
      <c r="K7" s="40"/>
    </row>
    <row r="8" spans="1:11">
      <c r="A8" s="40"/>
      <c r="D8" s="40"/>
      <c r="E8" s="40"/>
      <c r="F8" s="40"/>
      <c r="G8" s="40"/>
      <c r="J8" s="40"/>
      <c r="K8" s="40"/>
    </row>
    <row r="9" spans="1:11">
      <c r="A9" s="40"/>
      <c r="E9" s="40"/>
      <c r="F9" s="40"/>
      <c r="G9" s="40"/>
      <c r="J9" s="40"/>
      <c r="K9" s="40"/>
    </row>
    <row r="10" spans="1:11">
      <c r="A10" s="40"/>
      <c r="D10" s="40"/>
      <c r="E10" s="40"/>
      <c r="F10" s="40"/>
      <c r="G10" s="40"/>
      <c r="J10" s="40"/>
      <c r="K10" s="40"/>
    </row>
    <row r="11" spans="1:11">
      <c r="A11" s="40"/>
      <c r="D11" s="186">
        <f>+C31</f>
        <v>3951.6853932584268</v>
      </c>
      <c r="E11" s="40"/>
      <c r="G11" s="40"/>
      <c r="K11" s="40"/>
    </row>
    <row r="12" spans="1:11">
      <c r="A12" s="40"/>
      <c r="D12" s="185">
        <f>+D11/$E$35</f>
        <v>155.57816508891446</v>
      </c>
      <c r="E12" s="40"/>
      <c r="F12" s="41"/>
      <c r="G12" s="40"/>
      <c r="J12" s="40"/>
      <c r="K12" s="40"/>
    </row>
    <row r="13" spans="1:11">
      <c r="A13" s="40"/>
      <c r="D13" s="40"/>
      <c r="E13" s="40"/>
      <c r="F13" s="40"/>
      <c r="G13" s="40"/>
      <c r="J13" s="6">
        <f>+C33</f>
        <v>4103.6853932584272</v>
      </c>
      <c r="K13" s="40"/>
    </row>
    <row r="14" spans="1:11">
      <c r="A14" s="40"/>
      <c r="D14" s="40"/>
      <c r="E14" s="40"/>
      <c r="F14" s="186">
        <f>+C34</f>
        <v>8068.0216563474842</v>
      </c>
      <c r="G14" s="40"/>
      <c r="J14" s="42">
        <f>+J13/$E$35</f>
        <v>161.5624170574184</v>
      </c>
      <c r="K14" s="40"/>
    </row>
    <row r="15" spans="1:11">
      <c r="A15" s="40"/>
      <c r="D15" s="40"/>
      <c r="E15" s="40"/>
      <c r="F15" s="185">
        <f>+F14/$E$35</f>
        <v>317.63864788769627</v>
      </c>
      <c r="G15" s="40"/>
      <c r="J15" s="40"/>
      <c r="K15" s="40"/>
    </row>
    <row r="16" spans="1:11">
      <c r="A16" s="40"/>
      <c r="D16" s="40"/>
      <c r="E16" s="40"/>
      <c r="F16" s="40"/>
      <c r="G16" s="40"/>
      <c r="J16" s="40"/>
      <c r="K16" s="40"/>
    </row>
    <row r="17" spans="1:11">
      <c r="A17" s="40"/>
      <c r="D17" s="40"/>
      <c r="E17" s="40"/>
      <c r="F17" s="40"/>
      <c r="G17" s="40"/>
      <c r="J17" s="40"/>
      <c r="K17" s="40"/>
    </row>
    <row r="18" spans="1:11">
      <c r="A18" s="40"/>
      <c r="D18" s="40"/>
      <c r="E18" s="40"/>
      <c r="F18" s="40"/>
      <c r="G18" s="40"/>
      <c r="J18" s="40"/>
      <c r="K18" s="40"/>
    </row>
    <row r="19" spans="1:11">
      <c r="A19" s="40"/>
      <c r="D19" s="40"/>
      <c r="E19" s="40"/>
      <c r="F19" s="40"/>
      <c r="G19" s="40"/>
      <c r="J19" s="40"/>
      <c r="K19" s="40"/>
    </row>
    <row r="20" spans="1:11">
      <c r="A20" s="40"/>
      <c r="D20" s="40"/>
      <c r="E20" s="40"/>
      <c r="F20" s="40"/>
      <c r="G20" s="40"/>
      <c r="J20" s="40"/>
      <c r="K20" s="40"/>
    </row>
    <row r="21" spans="1:11">
      <c r="A21" s="40"/>
      <c r="D21" s="40"/>
      <c r="E21" s="43"/>
      <c r="F21" s="40"/>
      <c r="G21" s="40"/>
      <c r="J21" s="40"/>
      <c r="K21" s="40"/>
    </row>
    <row r="22" spans="1:11">
      <c r="A22" s="40"/>
      <c r="D22" s="40"/>
      <c r="F22" s="40"/>
      <c r="G22" s="40"/>
      <c r="J22" s="40"/>
      <c r="K22" s="40"/>
    </row>
    <row r="23" spans="1:11">
      <c r="A23" s="40"/>
      <c r="D23" s="40"/>
      <c r="E23" s="40"/>
      <c r="F23" s="40"/>
      <c r="G23" s="40"/>
      <c r="J23" s="40"/>
      <c r="K23" s="40"/>
    </row>
    <row r="24" spans="1:1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1:1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186" t="str">
        <f>+C35</f>
        <v>TBC</v>
      </c>
    </row>
    <row r="26" spans="1:11">
      <c r="A26" s="40"/>
      <c r="B26" s="40"/>
      <c r="C26" s="40"/>
      <c r="D26" s="40"/>
      <c r="E26" s="186">
        <f>+C32</f>
        <v>7186</v>
      </c>
      <c r="F26" s="40"/>
      <c r="G26" s="40"/>
      <c r="H26" s="40"/>
      <c r="I26" s="40"/>
      <c r="J26" s="40"/>
      <c r="K26" s="185" t="str">
        <f>K25</f>
        <v>TBC</v>
      </c>
    </row>
    <row r="27" spans="1:11">
      <c r="A27" s="40"/>
      <c r="B27" s="40"/>
      <c r="C27" s="40"/>
      <c r="D27" s="40"/>
      <c r="E27" s="4">
        <f>+E26/$E$35</f>
        <v>282.91338582677167</v>
      </c>
      <c r="F27" s="40"/>
      <c r="G27" s="40"/>
      <c r="H27" s="40"/>
      <c r="I27" s="40"/>
      <c r="J27" s="40"/>
    </row>
    <row r="28" spans="1:11" ht="17" thickBot="1">
      <c r="A28" s="40"/>
      <c r="B28" s="40"/>
      <c r="C28" s="40"/>
      <c r="D28" s="40"/>
      <c r="E28" s="4"/>
      <c r="F28" s="40"/>
      <c r="G28" s="40"/>
      <c r="H28" s="40"/>
      <c r="I28" s="40"/>
      <c r="J28" s="40"/>
    </row>
    <row r="29" spans="1:11">
      <c r="A29" s="44"/>
      <c r="B29" s="45" t="s">
        <v>5</v>
      </c>
      <c r="C29" s="46" t="s">
        <v>6</v>
      </c>
      <c r="D29" s="47" t="s">
        <v>7</v>
      </c>
      <c r="E29" s="328" t="str">
        <f>IF(C31&lt;=2800,"Enlightor NEO","Enlightor NEO-W")</f>
        <v>Enlightor NEO-W</v>
      </c>
      <c r="F29" s="329"/>
      <c r="G29" s="47" t="s">
        <v>8</v>
      </c>
      <c r="H29" s="330">
        <f ca="1">NOW()</f>
        <v>43377.415750578701</v>
      </c>
      <c r="I29" s="330"/>
      <c r="J29" s="330"/>
      <c r="K29" s="331"/>
    </row>
    <row r="30" spans="1:11">
      <c r="A30" s="48" t="s">
        <v>9</v>
      </c>
      <c r="B30" s="49">
        <f>+C30/$E$35</f>
        <v>276.92913385826773</v>
      </c>
      <c r="C30" s="15">
        <v>7034</v>
      </c>
      <c r="D30" s="50" t="s">
        <v>10</v>
      </c>
      <c r="E30" s="332">
        <v>1.78</v>
      </c>
      <c r="F30" s="333"/>
      <c r="G30" s="51" t="s">
        <v>11</v>
      </c>
      <c r="H30" s="347"/>
      <c r="I30" s="347"/>
      <c r="J30" s="347"/>
      <c r="K30" s="348"/>
    </row>
    <row r="31" spans="1:11">
      <c r="A31" s="48" t="s">
        <v>12</v>
      </c>
      <c r="B31" s="49">
        <f>+C31/$E$35</f>
        <v>155.57816508891446</v>
      </c>
      <c r="C31" s="17">
        <f>C30/E30</f>
        <v>3951.6853932584268</v>
      </c>
      <c r="D31" s="50" t="s">
        <v>13</v>
      </c>
      <c r="E31" s="354" t="s">
        <v>14</v>
      </c>
      <c r="F31" s="355"/>
      <c r="G31" s="51" t="s">
        <v>15</v>
      </c>
      <c r="H31" s="336"/>
      <c r="I31" s="337"/>
      <c r="J31" s="337"/>
      <c r="K31" s="338"/>
    </row>
    <row r="32" spans="1:11">
      <c r="A32" s="48" t="s">
        <v>16</v>
      </c>
      <c r="B32" s="49">
        <f>+C32/$E$35</f>
        <v>282.91338582677167</v>
      </c>
      <c r="C32" s="18">
        <f>+C30+(2*E34)</f>
        <v>7186</v>
      </c>
      <c r="D32" s="51" t="s">
        <v>17</v>
      </c>
      <c r="E32" s="54" t="s">
        <v>14</v>
      </c>
      <c r="F32" s="55" t="s">
        <v>18</v>
      </c>
      <c r="G32" s="40"/>
      <c r="H32" s="40"/>
      <c r="I32" s="40"/>
      <c r="J32" s="40"/>
      <c r="K32" s="56" t="s">
        <v>46</v>
      </c>
    </row>
    <row r="33" spans="1:11">
      <c r="A33" s="48" t="s">
        <v>19</v>
      </c>
      <c r="B33" s="49">
        <f>+C33/$E$35</f>
        <v>161.5624170574184</v>
      </c>
      <c r="C33" s="18">
        <f>+C31+(2*E34)</f>
        <v>4103.6853932584272</v>
      </c>
      <c r="D33" s="57" t="s">
        <v>20</v>
      </c>
      <c r="E33" s="58" t="s">
        <v>14</v>
      </c>
      <c r="F33" s="388" t="s">
        <v>165</v>
      </c>
      <c r="G33" s="389"/>
      <c r="H33" s="389"/>
      <c r="I33" s="389"/>
      <c r="J33" s="389"/>
      <c r="K33" s="390"/>
    </row>
    <row r="34" spans="1:11">
      <c r="A34" s="48" t="s">
        <v>21</v>
      </c>
      <c r="B34" s="49">
        <f>+C34/$E$35</f>
        <v>317.63864788769627</v>
      </c>
      <c r="C34" s="18">
        <f>SQRT((C30^2)+(C31^2))</f>
        <v>8068.0216563474842</v>
      </c>
      <c r="D34" s="57" t="s">
        <v>22</v>
      </c>
      <c r="E34" s="52">
        <v>76</v>
      </c>
      <c r="F34" s="388"/>
      <c r="G34" s="389"/>
      <c r="H34" s="389"/>
      <c r="I34" s="389"/>
      <c r="J34" s="389"/>
      <c r="K34" s="390"/>
    </row>
    <row r="35" spans="1:11" ht="17" thickBot="1">
      <c r="A35" s="59" t="s">
        <v>23</v>
      </c>
      <c r="B35" s="60" t="str">
        <f>C35</f>
        <v>TBC</v>
      </c>
      <c r="C35" s="74" t="s">
        <v>164</v>
      </c>
      <c r="D35" s="62" t="s">
        <v>24</v>
      </c>
      <c r="E35" s="63">
        <v>25.4</v>
      </c>
      <c r="F35" s="391"/>
      <c r="G35" s="392"/>
      <c r="H35" s="392"/>
      <c r="I35" s="392"/>
      <c r="J35" s="392"/>
      <c r="K35" s="393"/>
    </row>
    <row r="37" spans="1:11" s="1" customFormat="1" ht="16" customHeight="1">
      <c r="B37" s="112" t="s">
        <v>26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s="1" customFormat="1" ht="7" customHeight="1">
      <c r="B38" s="113"/>
      <c r="C38" s="3"/>
      <c r="D38" s="25"/>
      <c r="E38" s="25"/>
      <c r="F38" s="3"/>
    </row>
    <row r="39" spans="1:11" s="1" customFormat="1" ht="16" customHeight="1">
      <c r="B39" s="108"/>
      <c r="C39" s="121" t="s">
        <v>27</v>
      </c>
      <c r="D39" s="121" t="s">
        <v>5</v>
      </c>
      <c r="E39" s="121" t="s">
        <v>6</v>
      </c>
    </row>
    <row r="40" spans="1:11" s="1" customFormat="1" ht="16" customHeight="1">
      <c r="B40" s="108" t="s">
        <v>28</v>
      </c>
      <c r="C40" s="111" t="s">
        <v>29</v>
      </c>
      <c r="D40" s="110">
        <v>315</v>
      </c>
      <c r="E40" s="110">
        <f>D40*25.4</f>
        <v>8001</v>
      </c>
      <c r="F40" s="3"/>
    </row>
    <row r="41" spans="1:11" s="1" customFormat="1" ht="16" customHeight="1">
      <c r="B41" s="108" t="s">
        <v>30</v>
      </c>
      <c r="C41" s="111" t="s">
        <v>31</v>
      </c>
      <c r="D41" s="110">
        <v>425</v>
      </c>
      <c r="E41" s="110">
        <f>D41*25.4</f>
        <v>10795</v>
      </c>
      <c r="G41" s="3" t="s">
        <v>32</v>
      </c>
    </row>
    <row r="42" spans="1:11" s="1" customFormat="1" ht="16" customHeight="1">
      <c r="B42" s="3"/>
      <c r="D42" s="162"/>
      <c r="E42" s="163"/>
      <c r="F42" s="110"/>
      <c r="G42" s="110"/>
      <c r="H42" s="3"/>
    </row>
    <row r="43" spans="1:11">
      <c r="G43" s="3"/>
    </row>
    <row r="44" spans="1:11">
      <c r="B44" s="64"/>
      <c r="C44" s="64"/>
      <c r="D44" s="64"/>
      <c r="E44" s="64"/>
      <c r="F44" s="64"/>
      <c r="G44" s="64"/>
      <c r="H44" s="64"/>
    </row>
    <row r="45" spans="1:11">
      <c r="B45" s="131" t="s">
        <v>38</v>
      </c>
      <c r="C45" s="132"/>
      <c r="D45" s="132"/>
      <c r="E45" s="132"/>
      <c r="F45" s="132"/>
      <c r="G45" s="132"/>
      <c r="H45" s="132"/>
      <c r="I45" s="132"/>
      <c r="J45" s="132"/>
      <c r="K45" s="132"/>
    </row>
    <row r="46" spans="1:11">
      <c r="B46" s="1" t="s">
        <v>129</v>
      </c>
      <c r="C46" s="1"/>
      <c r="D46" s="1"/>
      <c r="E46" s="1"/>
      <c r="F46" s="1"/>
      <c r="G46" s="1"/>
      <c r="H46" s="1"/>
      <c r="I46" s="1"/>
    </row>
    <row r="47" spans="1:11">
      <c r="B47" s="1" t="s">
        <v>40</v>
      </c>
      <c r="C47" s="1"/>
      <c r="D47" s="1"/>
      <c r="E47" s="1"/>
      <c r="F47" s="1"/>
      <c r="G47" s="1"/>
      <c r="H47" s="1"/>
      <c r="I47" s="1"/>
    </row>
    <row r="48" spans="1:11">
      <c r="B48" s="1"/>
      <c r="C48" s="1"/>
      <c r="D48" s="1"/>
      <c r="E48" s="1"/>
      <c r="F48" s="1"/>
      <c r="G48" s="1"/>
      <c r="H48" s="1"/>
      <c r="I48" s="1"/>
    </row>
    <row r="49" spans="2:4">
      <c r="B49" s="65"/>
    </row>
    <row r="50" spans="2:4">
      <c r="B50" s="65"/>
    </row>
    <row r="51" spans="2:4">
      <c r="B51" s="65"/>
    </row>
    <row r="52" spans="2:4">
      <c r="B52" s="66"/>
      <c r="D52" s="67"/>
    </row>
  </sheetData>
  <mergeCells count="9">
    <mergeCell ref="E31:F31"/>
    <mergeCell ref="H31:K31"/>
    <mergeCell ref="F33:K35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69" fitToHeight="2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108"/>
  <sheetViews>
    <sheetView showGridLines="0" topLeftCell="A17" workbookViewId="0">
      <selection activeCell="G31" sqref="G31"/>
    </sheetView>
  </sheetViews>
  <sheetFormatPr baseColWidth="10" defaultColWidth="10.83203125" defaultRowHeight="16"/>
  <cols>
    <col min="1" max="1" width="10" style="1" customWidth="1"/>
    <col min="2" max="16384" width="10.83203125" style="1"/>
  </cols>
  <sheetData>
    <row r="1" spans="1:11" ht="25" customHeight="1">
      <c r="A1" s="326" t="s">
        <v>124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s="2" customFormat="1" ht="24" customHeight="1">
      <c r="A2" s="327" t="str">
        <f>+ROUND(B29,0)&amp;""""&amp;" "&amp;E29&amp;" Aspect Ratio"</f>
        <v>277" 2.4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1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>
      <c r="A4" s="3"/>
      <c r="D4" s="3"/>
      <c r="E4" s="3"/>
      <c r="F4" s="3"/>
      <c r="G4" s="3"/>
      <c r="J4" s="3"/>
      <c r="K4" s="3"/>
    </row>
    <row r="5" spans="1:11">
      <c r="A5" s="3"/>
      <c r="D5" s="3"/>
      <c r="E5" s="186">
        <f>+C29</f>
        <v>7034</v>
      </c>
      <c r="F5" s="3"/>
      <c r="G5" s="3"/>
      <c r="J5" s="3"/>
      <c r="K5" s="3"/>
    </row>
    <row r="6" spans="1:11">
      <c r="A6" s="3"/>
      <c r="D6" s="3"/>
      <c r="E6" s="4">
        <f>+E5/$E$34</f>
        <v>276.92913385826773</v>
      </c>
      <c r="G6" s="3"/>
      <c r="J6" s="3"/>
      <c r="K6" s="3"/>
    </row>
    <row r="7" spans="1:11">
      <c r="A7" s="3"/>
      <c r="D7" s="3"/>
      <c r="E7" s="3"/>
      <c r="F7" s="3"/>
      <c r="G7" s="3"/>
      <c r="J7" s="3"/>
      <c r="K7" s="3"/>
    </row>
    <row r="8" spans="1:11">
      <c r="A8" s="3"/>
      <c r="D8" s="3"/>
      <c r="E8" s="3"/>
      <c r="F8" s="3"/>
      <c r="G8" s="3"/>
      <c r="J8" s="3"/>
      <c r="K8" s="3"/>
    </row>
    <row r="9" spans="1:11">
      <c r="A9" s="3"/>
      <c r="E9" s="3"/>
      <c r="F9" s="3"/>
      <c r="G9" s="3"/>
      <c r="J9" s="3"/>
      <c r="K9" s="3"/>
    </row>
    <row r="10" spans="1:11">
      <c r="A10" s="3"/>
      <c r="D10" s="3"/>
      <c r="E10" s="3"/>
      <c r="F10" s="3"/>
      <c r="G10" s="3"/>
      <c r="J10" s="3"/>
      <c r="K10" s="3"/>
    </row>
    <row r="11" spans="1:11">
      <c r="A11" s="3"/>
      <c r="D11" s="186">
        <f>+C30</f>
        <v>2930.8333333333335</v>
      </c>
      <c r="E11" s="3"/>
      <c r="G11" s="3"/>
      <c r="K11" s="3"/>
    </row>
    <row r="12" spans="1:11">
      <c r="A12" s="3"/>
      <c r="D12" s="185">
        <f>+D11/$E$34</f>
        <v>115.38713910761156</v>
      </c>
      <c r="E12" s="3"/>
      <c r="F12" s="5"/>
      <c r="G12" s="3"/>
      <c r="J12" s="3"/>
      <c r="K12" s="3"/>
    </row>
    <row r="13" spans="1:11">
      <c r="A13" s="3"/>
      <c r="D13" s="3"/>
      <c r="E13" s="3"/>
      <c r="F13" s="3"/>
      <c r="G13" s="3"/>
      <c r="J13" s="6">
        <f>+C32</f>
        <v>2930.8333333333335</v>
      </c>
      <c r="K13" s="3"/>
    </row>
    <row r="14" spans="1:11">
      <c r="A14" s="3"/>
      <c r="D14" s="3"/>
      <c r="E14" s="3"/>
      <c r="F14" s="186">
        <f>+C33</f>
        <v>7620.166666666667</v>
      </c>
      <c r="G14" s="3"/>
      <c r="J14" s="4">
        <f>+J13/$E$34</f>
        <v>115.38713910761156</v>
      </c>
      <c r="K14" s="3"/>
    </row>
    <row r="15" spans="1:11">
      <c r="A15" s="3"/>
      <c r="D15" s="3"/>
      <c r="E15" s="3"/>
      <c r="F15" s="185">
        <f>+F14/$E$34</f>
        <v>300.00656167979008</v>
      </c>
      <c r="G15" s="3"/>
      <c r="J15" s="3"/>
      <c r="K15" s="3"/>
    </row>
    <row r="16" spans="1:11">
      <c r="A16" s="3"/>
      <c r="D16" s="3"/>
      <c r="E16" s="3"/>
      <c r="F16" s="3"/>
      <c r="G16" s="3"/>
      <c r="J16" s="3"/>
      <c r="K16" s="3"/>
    </row>
    <row r="17" spans="1:11">
      <c r="A17" s="3"/>
      <c r="D17" s="3"/>
      <c r="E17" s="3"/>
      <c r="F17" s="3"/>
      <c r="G17" s="3"/>
      <c r="J17" s="3"/>
      <c r="K17" s="3"/>
    </row>
    <row r="18" spans="1:11">
      <c r="A18" s="3"/>
      <c r="D18" s="3"/>
      <c r="E18" s="3"/>
      <c r="F18" s="3"/>
      <c r="G18" s="3"/>
      <c r="J18" s="3"/>
      <c r="K18" s="3"/>
    </row>
    <row r="19" spans="1:11">
      <c r="A19" s="3"/>
      <c r="D19" s="3"/>
      <c r="E19" s="3"/>
      <c r="F19" s="3"/>
      <c r="G19" s="3"/>
      <c r="J19" s="3"/>
      <c r="K19" s="3"/>
    </row>
    <row r="20" spans="1:11">
      <c r="A20" s="3"/>
      <c r="D20" s="3"/>
      <c r="E20" s="3"/>
      <c r="F20" s="3"/>
      <c r="G20" s="3"/>
      <c r="J20" s="3"/>
      <c r="K20" s="3"/>
    </row>
    <row r="21" spans="1:11">
      <c r="A21" s="3"/>
      <c r="D21" s="3"/>
      <c r="E21" s="7"/>
      <c r="F21" s="3"/>
      <c r="G21" s="3"/>
      <c r="J21" s="3"/>
      <c r="K21" s="3"/>
    </row>
    <row r="22" spans="1:11">
      <c r="A22" s="3"/>
      <c r="D22" s="3"/>
      <c r="E22" s="8"/>
      <c r="F22" s="3"/>
      <c r="G22" s="3"/>
      <c r="J22" s="3"/>
      <c r="K22" s="3"/>
    </row>
    <row r="23" spans="1:11">
      <c r="A23" s="3"/>
      <c r="D23" s="3"/>
      <c r="E23" s="3"/>
      <c r="F23" s="3"/>
      <c r="G23" s="3"/>
      <c r="J23" s="3"/>
      <c r="K23" s="3"/>
    </row>
    <row r="24" spans="1:1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>
      <c r="A25" s="3"/>
      <c r="B25" s="3"/>
      <c r="C25" s="3"/>
      <c r="D25" s="3"/>
      <c r="E25" s="3"/>
      <c r="F25" s="3"/>
      <c r="G25" s="3"/>
      <c r="H25" s="3"/>
      <c r="I25" s="3"/>
      <c r="J25" s="3"/>
      <c r="K25" s="186" t="str">
        <f>+C34</f>
        <v>TBC</v>
      </c>
    </row>
    <row r="26" spans="1:11">
      <c r="A26" s="3"/>
      <c r="B26" s="3"/>
      <c r="C26" s="3"/>
      <c r="D26" s="3"/>
      <c r="E26" s="186">
        <f>+C31</f>
        <v>7034</v>
      </c>
      <c r="F26" s="3"/>
      <c r="G26" s="3"/>
      <c r="H26" s="3"/>
      <c r="I26" s="3"/>
      <c r="J26" s="3"/>
      <c r="K26" s="185" t="e">
        <f>+K25/$E$34</f>
        <v>#VALUE!</v>
      </c>
    </row>
    <row r="27" spans="1:11" ht="17" thickBot="1">
      <c r="A27" s="3"/>
      <c r="B27" s="3"/>
      <c r="C27" s="3"/>
      <c r="D27" s="3"/>
      <c r="E27" s="185">
        <f>+E26/$E$34</f>
        <v>276.92913385826773</v>
      </c>
      <c r="F27" s="3"/>
      <c r="G27" s="3"/>
      <c r="H27" s="3"/>
      <c r="I27" s="3"/>
      <c r="J27" s="3"/>
    </row>
    <row r="28" spans="1:11">
      <c r="A28" s="9"/>
      <c r="B28" s="10" t="s">
        <v>5</v>
      </c>
      <c r="C28" s="11" t="s">
        <v>6</v>
      </c>
      <c r="D28" s="12" t="s">
        <v>7</v>
      </c>
      <c r="E28" s="328" t="str">
        <f>IF(C30&lt;=2800,"EN 4K or NEO","NEO-W")</f>
        <v>NEO-W</v>
      </c>
      <c r="F28" s="329"/>
      <c r="G28" s="12" t="s">
        <v>8</v>
      </c>
      <c r="H28" s="330">
        <f ca="1">NOW()</f>
        <v>43377.415750578701</v>
      </c>
      <c r="I28" s="330"/>
      <c r="J28" s="330"/>
      <c r="K28" s="331"/>
    </row>
    <row r="29" spans="1:11">
      <c r="A29" s="136" t="s">
        <v>9</v>
      </c>
      <c r="B29" s="14">
        <f t="shared" ref="B29:B34" si="0">+C29/$E$34</f>
        <v>276.92913385826773</v>
      </c>
      <c r="C29" s="15">
        <v>7034</v>
      </c>
      <c r="D29" s="137" t="s">
        <v>10</v>
      </c>
      <c r="E29" s="332">
        <v>2.4</v>
      </c>
      <c r="F29" s="333"/>
      <c r="G29" s="16" t="s">
        <v>11</v>
      </c>
      <c r="H29" s="334"/>
      <c r="I29" s="334"/>
      <c r="J29" s="334"/>
      <c r="K29" s="335"/>
    </row>
    <row r="30" spans="1:11">
      <c r="A30" s="13" t="s">
        <v>12</v>
      </c>
      <c r="B30" s="14">
        <f t="shared" si="0"/>
        <v>115.38713910761156</v>
      </c>
      <c r="C30" s="17">
        <f>C29/E29</f>
        <v>2930.8333333333335</v>
      </c>
      <c r="D30" s="16" t="s">
        <v>13</v>
      </c>
      <c r="E30" s="321" t="s">
        <v>14</v>
      </c>
      <c r="F30" s="322"/>
      <c r="G30" s="16" t="s">
        <v>15</v>
      </c>
      <c r="H30" s="323"/>
      <c r="I30" s="324"/>
      <c r="J30" s="324"/>
      <c r="K30" s="325"/>
    </row>
    <row r="31" spans="1:11">
      <c r="A31" s="13" t="s">
        <v>16</v>
      </c>
      <c r="B31" s="14">
        <f t="shared" si="0"/>
        <v>276.92913385826773</v>
      </c>
      <c r="C31" s="18">
        <f>+C29+(2*E33)</f>
        <v>7034</v>
      </c>
      <c r="D31" s="16" t="s">
        <v>17</v>
      </c>
      <c r="E31" s="19" t="s">
        <v>14</v>
      </c>
      <c r="F31" s="20" t="s">
        <v>18</v>
      </c>
      <c r="G31" s="3" t="s">
        <v>165</v>
      </c>
      <c r="H31" s="3"/>
      <c r="I31" s="3"/>
      <c r="J31" s="3"/>
      <c r="K31" s="21"/>
    </row>
    <row r="32" spans="1:11">
      <c r="A32" s="13" t="s">
        <v>19</v>
      </c>
      <c r="B32" s="14">
        <f t="shared" si="0"/>
        <v>115.38713910761156</v>
      </c>
      <c r="C32" s="18">
        <f>+C30+(2*E33)</f>
        <v>2930.8333333333335</v>
      </c>
      <c r="D32" s="22" t="s">
        <v>20</v>
      </c>
      <c r="E32" s="23" t="s">
        <v>14</v>
      </c>
      <c r="F32" s="24"/>
      <c r="G32" s="25"/>
      <c r="H32" s="25"/>
      <c r="I32" s="25"/>
      <c r="J32" s="25"/>
      <c r="K32" s="26"/>
    </row>
    <row r="33" spans="1:11">
      <c r="A33" s="13" t="s">
        <v>21</v>
      </c>
      <c r="B33" s="14">
        <f t="shared" si="0"/>
        <v>300.00656167979008</v>
      </c>
      <c r="C33" s="18">
        <f>SQRT((C29^2)+(C30^2))</f>
        <v>7620.166666666667</v>
      </c>
      <c r="D33" s="22" t="s">
        <v>22</v>
      </c>
      <c r="E33" s="27">
        <v>0</v>
      </c>
      <c r="F33" s="24"/>
      <c r="G33" s="25"/>
      <c r="H33" s="25"/>
      <c r="I33" s="25"/>
      <c r="J33" s="25"/>
      <c r="K33" s="26"/>
    </row>
    <row r="34" spans="1:11" ht="16" customHeight="1" thickBot="1">
      <c r="A34" s="28" t="s">
        <v>23</v>
      </c>
      <c r="B34" s="29" t="e">
        <f t="shared" si="0"/>
        <v>#VALUE!</v>
      </c>
      <c r="C34" s="30" t="s">
        <v>164</v>
      </c>
      <c r="D34" s="31" t="s">
        <v>24</v>
      </c>
      <c r="E34" s="32">
        <v>25.4</v>
      </c>
      <c r="F34" s="33"/>
      <c r="G34" s="33"/>
      <c r="H34" s="33"/>
      <c r="I34" s="33"/>
      <c r="J34" s="33"/>
      <c r="K34" s="34" t="s">
        <v>25</v>
      </c>
    </row>
    <row r="35" spans="1:11" ht="16" customHeight="1">
      <c r="D35" s="3"/>
      <c r="E35" s="3"/>
    </row>
    <row r="36" spans="1:11" ht="16" customHeight="1">
      <c r="B36" s="112" t="s">
        <v>26</v>
      </c>
      <c r="C36" s="115"/>
      <c r="D36" s="120"/>
      <c r="E36" s="120"/>
      <c r="F36" s="115"/>
      <c r="G36" s="115"/>
      <c r="H36" s="115"/>
      <c r="I36" s="115"/>
      <c r="J36" s="115"/>
      <c r="K36" s="115"/>
    </row>
    <row r="37" spans="1:11" ht="7" customHeight="1">
      <c r="B37" s="113"/>
      <c r="C37" s="3"/>
      <c r="D37" s="25"/>
      <c r="E37" s="25"/>
      <c r="F37" s="3"/>
    </row>
    <row r="38" spans="1:11" ht="16" customHeight="1">
      <c r="B38" s="108"/>
      <c r="C38" s="121" t="s">
        <v>27</v>
      </c>
      <c r="D38" s="121" t="s">
        <v>5</v>
      </c>
      <c r="E38" s="121" t="s">
        <v>6</v>
      </c>
    </row>
    <row r="39" spans="1:11" ht="16" customHeight="1">
      <c r="B39" s="108" t="s">
        <v>28</v>
      </c>
      <c r="C39" s="111" t="s">
        <v>29</v>
      </c>
      <c r="D39" s="110">
        <v>315</v>
      </c>
      <c r="E39" s="110">
        <f>D39*25.4</f>
        <v>8001</v>
      </c>
      <c r="F39" s="3"/>
    </row>
    <row r="40" spans="1:11" ht="16" customHeight="1">
      <c r="B40" s="108" t="s">
        <v>30</v>
      </c>
      <c r="C40" s="111" t="s">
        <v>31</v>
      </c>
      <c r="D40" s="110">
        <v>425</v>
      </c>
      <c r="E40" s="110">
        <f>D40*25.4</f>
        <v>10795</v>
      </c>
      <c r="G40" s="3" t="s">
        <v>32</v>
      </c>
    </row>
    <row r="41" spans="1:11" ht="16" customHeight="1"/>
    <row r="42" spans="1:11" ht="16" customHeight="1">
      <c r="B42" s="107" t="s">
        <v>33</v>
      </c>
      <c r="C42" s="115"/>
      <c r="D42" s="115"/>
      <c r="E42" s="115"/>
      <c r="F42" s="115"/>
      <c r="G42" s="115"/>
      <c r="H42" s="115"/>
      <c r="I42" s="115"/>
      <c r="J42" s="115"/>
      <c r="K42" s="115"/>
    </row>
    <row r="43" spans="1:11" ht="16" customHeight="1">
      <c r="B43" s="35" t="s">
        <v>34</v>
      </c>
      <c r="C43" s="35"/>
      <c r="D43" s="35"/>
      <c r="E43" s="35"/>
      <c r="F43" s="35"/>
      <c r="G43" s="35"/>
      <c r="H43" s="35"/>
    </row>
    <row r="44" spans="1:11">
      <c r="B44" s="35" t="s">
        <v>35</v>
      </c>
      <c r="C44" s="35"/>
      <c r="D44" s="35"/>
      <c r="E44" s="35"/>
      <c r="F44" s="35"/>
      <c r="G44" s="35"/>
      <c r="H44" s="35"/>
    </row>
    <row r="45" spans="1:11">
      <c r="B45" s="35" t="s">
        <v>36</v>
      </c>
      <c r="C45" s="35"/>
      <c r="D45" s="35"/>
      <c r="E45" s="35"/>
      <c r="F45" s="35"/>
      <c r="G45" s="35"/>
      <c r="H45" s="35"/>
    </row>
    <row r="46" spans="1:11">
      <c r="B46" s="35" t="s">
        <v>37</v>
      </c>
      <c r="C46" s="35"/>
      <c r="D46" s="35"/>
      <c r="E46" s="35"/>
      <c r="F46" s="35"/>
      <c r="G46" s="35"/>
      <c r="H46" s="35"/>
    </row>
    <row r="47" spans="1:11" ht="10" customHeight="1">
      <c r="B47" s="35"/>
      <c r="C47" s="35"/>
      <c r="D47" s="35"/>
      <c r="E47" s="35"/>
      <c r="F47" s="35"/>
      <c r="G47" s="35"/>
      <c r="H47" s="35"/>
    </row>
    <row r="48" spans="1:11">
      <c r="B48" s="107" t="s">
        <v>38</v>
      </c>
      <c r="C48" s="115"/>
      <c r="D48" s="115"/>
      <c r="E48" s="115"/>
      <c r="F48" s="115"/>
      <c r="G48" s="115"/>
      <c r="H48" s="115"/>
      <c r="I48" s="115"/>
      <c r="J48" s="115"/>
      <c r="K48" s="115"/>
    </row>
    <row r="49" spans="2:2">
      <c r="B49" s="1" t="s">
        <v>129</v>
      </c>
    </row>
    <row r="50" spans="2:2">
      <c r="B50" s="1" t="s">
        <v>40</v>
      </c>
    </row>
    <row r="51" spans="2:2" ht="8" customHeight="1"/>
    <row r="52" spans="2:2">
      <c r="B52" s="36"/>
    </row>
    <row r="53" spans="2:2">
      <c r="B53" s="36"/>
    </row>
    <row r="54" spans="2:2">
      <c r="B54" s="36"/>
    </row>
    <row r="55" spans="2:2">
      <c r="B55" s="37"/>
    </row>
    <row r="56" spans="2:2">
      <c r="B56" s="37"/>
    </row>
    <row r="57" spans="2:2">
      <c r="B57" s="37"/>
    </row>
    <row r="58" spans="2:2">
      <c r="B58" s="37"/>
    </row>
    <row r="59" spans="2:2">
      <c r="B59" s="37"/>
    </row>
    <row r="60" spans="2:2">
      <c r="B60" s="37"/>
    </row>
    <row r="61" spans="2:2">
      <c r="B61" s="37"/>
    </row>
    <row r="62" spans="2:2">
      <c r="B62" s="37"/>
    </row>
    <row r="63" spans="2:2">
      <c r="B63" s="37"/>
    </row>
    <row r="64" spans="2:2">
      <c r="B64" s="37"/>
    </row>
    <row r="65" spans="2:2">
      <c r="B65" s="37"/>
    </row>
    <row r="66" spans="2:2">
      <c r="B66" s="37"/>
    </row>
    <row r="67" spans="2:2">
      <c r="B67" s="37"/>
    </row>
    <row r="68" spans="2:2">
      <c r="B68" s="37"/>
    </row>
    <row r="69" spans="2:2">
      <c r="B69" s="37"/>
    </row>
    <row r="70" spans="2:2">
      <c r="B70" s="37"/>
    </row>
    <row r="71" spans="2:2">
      <c r="B71" s="37"/>
    </row>
    <row r="72" spans="2:2">
      <c r="B72" s="37"/>
    </row>
    <row r="73" spans="2:2">
      <c r="B73" s="37"/>
    </row>
    <row r="74" spans="2:2">
      <c r="B74" s="37"/>
    </row>
    <row r="75" spans="2:2">
      <c r="B75" s="37"/>
    </row>
    <row r="76" spans="2:2">
      <c r="B76" s="37"/>
    </row>
    <row r="77" spans="2:2">
      <c r="B77" s="37"/>
    </row>
    <row r="78" spans="2:2">
      <c r="B78" s="37"/>
    </row>
    <row r="79" spans="2:2">
      <c r="B79" s="37"/>
    </row>
    <row r="80" spans="2:2">
      <c r="B80" s="37"/>
    </row>
    <row r="81" spans="2:2">
      <c r="B81" s="37"/>
    </row>
    <row r="82" spans="2:2">
      <c r="B82" s="37"/>
    </row>
    <row r="83" spans="2:2">
      <c r="B83" s="37"/>
    </row>
    <row r="84" spans="2:2">
      <c r="B84" s="37"/>
    </row>
    <row r="85" spans="2:2">
      <c r="B85" s="37"/>
    </row>
    <row r="86" spans="2:2">
      <c r="B86" s="37"/>
    </row>
    <row r="87" spans="2:2">
      <c r="B87" s="37"/>
    </row>
    <row r="88" spans="2:2">
      <c r="B88" s="37"/>
    </row>
    <row r="89" spans="2:2">
      <c r="B89" s="37"/>
    </row>
    <row r="90" spans="2:2">
      <c r="B90" s="37"/>
    </row>
    <row r="91" spans="2:2">
      <c r="B91" s="37"/>
    </row>
    <row r="92" spans="2:2">
      <c r="B92" s="37"/>
    </row>
    <row r="93" spans="2:2">
      <c r="B93" s="37"/>
    </row>
    <row r="94" spans="2:2">
      <c r="B94" s="37"/>
    </row>
    <row r="95" spans="2:2">
      <c r="B95" s="37"/>
    </row>
    <row r="96" spans="2:2">
      <c r="B96" s="37"/>
    </row>
    <row r="97" spans="2:2">
      <c r="B97" s="37"/>
    </row>
    <row r="98" spans="2:2">
      <c r="B98" s="37"/>
    </row>
    <row r="99" spans="2:2">
      <c r="B99" s="37"/>
    </row>
    <row r="100" spans="2:2">
      <c r="B100" s="37"/>
    </row>
    <row r="101" spans="2:2">
      <c r="B101" s="37"/>
    </row>
    <row r="102" spans="2:2">
      <c r="B102" s="37"/>
    </row>
    <row r="103" spans="2:2">
      <c r="B103" s="37"/>
    </row>
    <row r="104" spans="2:2">
      <c r="B104" s="37"/>
    </row>
    <row r="105" spans="2:2">
      <c r="B105" s="37"/>
    </row>
    <row r="106" spans="2:2">
      <c r="B106" s="37"/>
    </row>
    <row r="107" spans="2:2">
      <c r="B107" s="37"/>
    </row>
    <row r="108" spans="2:2">
      <c r="B108" s="37"/>
    </row>
  </sheetData>
  <mergeCells count="8"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75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08"/>
  <sheetViews>
    <sheetView showGridLines="0" workbookViewId="0">
      <selection activeCell="D41" sqref="D41"/>
    </sheetView>
  </sheetViews>
  <sheetFormatPr baseColWidth="10" defaultColWidth="10.83203125" defaultRowHeight="16"/>
  <cols>
    <col min="1" max="1" width="10" style="1" customWidth="1"/>
    <col min="2" max="16384" width="10.83203125" style="1"/>
  </cols>
  <sheetData>
    <row r="1" spans="1:11" ht="41" customHeight="1">
      <c r="A1" s="326" t="s">
        <v>4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s="2" customFormat="1" ht="41" customHeight="1">
      <c r="A2" s="327" t="str">
        <f>+ROUND(B29,1)&amp;""""&amp;" "&amp;E29&amp;" Aspect Ratio"</f>
        <v>100" 1.78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1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>
      <c r="A4" s="3"/>
      <c r="D4" s="3"/>
      <c r="E4" s="3"/>
      <c r="F4" s="3"/>
      <c r="G4" s="3"/>
      <c r="J4" s="3"/>
      <c r="K4" s="3"/>
    </row>
    <row r="5" spans="1:11">
      <c r="A5" s="3"/>
      <c r="D5" s="3"/>
      <c r="E5" s="186">
        <f>+C29</f>
        <v>2540</v>
      </c>
      <c r="F5" s="3"/>
      <c r="G5" s="3"/>
      <c r="J5" s="3"/>
      <c r="K5" s="3"/>
    </row>
    <row r="6" spans="1:11">
      <c r="A6" s="3"/>
      <c r="D6" s="3"/>
      <c r="E6" s="4">
        <f>+E5/$E$34</f>
        <v>100</v>
      </c>
      <c r="G6" s="3"/>
      <c r="J6" s="3"/>
      <c r="K6" s="3"/>
    </row>
    <row r="7" spans="1:11">
      <c r="A7" s="3"/>
      <c r="D7" s="3"/>
      <c r="E7" s="3"/>
      <c r="F7" s="3"/>
      <c r="G7" s="3"/>
      <c r="J7" s="3"/>
      <c r="K7" s="3"/>
    </row>
    <row r="8" spans="1:11">
      <c r="A8" s="3"/>
      <c r="D8" s="3"/>
      <c r="E8" s="3"/>
      <c r="F8" s="3"/>
      <c r="G8" s="3"/>
      <c r="J8" s="3"/>
      <c r="K8" s="3"/>
    </row>
    <row r="9" spans="1:11">
      <c r="A9" s="3"/>
      <c r="E9" s="3"/>
      <c r="F9" s="3"/>
      <c r="G9" s="3"/>
      <c r="J9" s="3"/>
      <c r="K9" s="3"/>
    </row>
    <row r="10" spans="1:11">
      <c r="A10" s="3"/>
      <c r="D10" s="3"/>
      <c r="E10" s="3"/>
      <c r="F10" s="3"/>
      <c r="G10" s="3"/>
      <c r="J10" s="3"/>
      <c r="K10" s="3"/>
    </row>
    <row r="11" spans="1:11">
      <c r="A11" s="3"/>
      <c r="D11" s="186">
        <f>+C30</f>
        <v>1426.9662921348315</v>
      </c>
      <c r="E11" s="3"/>
      <c r="G11" s="3"/>
      <c r="K11" s="3"/>
    </row>
    <row r="12" spans="1:11">
      <c r="A12" s="3"/>
      <c r="D12" s="185">
        <f>+D11/$E$34</f>
        <v>56.17977528089888</v>
      </c>
      <c r="E12" s="3"/>
      <c r="F12" s="5"/>
      <c r="G12" s="3"/>
      <c r="J12" s="3"/>
      <c r="K12" s="3"/>
    </row>
    <row r="13" spans="1:11">
      <c r="A13" s="3"/>
      <c r="D13" s="3"/>
      <c r="E13" s="3"/>
      <c r="F13" s="3"/>
      <c r="G13" s="3"/>
      <c r="J13" s="6">
        <f>+C32</f>
        <v>1456.9662921348315</v>
      </c>
      <c r="K13" s="3"/>
    </row>
    <row r="14" spans="1:11">
      <c r="A14" s="3"/>
      <c r="D14" s="3"/>
      <c r="E14" s="3"/>
      <c r="F14" s="186">
        <f>+C33</f>
        <v>2913.3885423830839</v>
      </c>
      <c r="G14" s="3"/>
      <c r="J14" s="4">
        <f>+J13/$E$34</f>
        <v>57.360877643103606</v>
      </c>
      <c r="K14" s="3"/>
    </row>
    <row r="15" spans="1:11">
      <c r="A15" s="3"/>
      <c r="D15" s="3"/>
      <c r="E15" s="3"/>
      <c r="F15" s="185">
        <f>+F14/$E$34</f>
        <v>114.70033631429465</v>
      </c>
      <c r="G15" s="3"/>
      <c r="J15" s="3"/>
      <c r="K15" s="3"/>
    </row>
    <row r="16" spans="1:11">
      <c r="A16" s="3"/>
      <c r="D16" s="3"/>
      <c r="E16" s="3"/>
      <c r="F16" s="3"/>
      <c r="G16" s="3"/>
      <c r="J16" s="3"/>
      <c r="K16" s="3"/>
    </row>
    <row r="17" spans="1:11">
      <c r="A17" s="3"/>
      <c r="D17" s="3"/>
      <c r="E17" s="3"/>
      <c r="F17" s="3"/>
      <c r="G17" s="3"/>
      <c r="J17" s="3"/>
      <c r="K17" s="3"/>
    </row>
    <row r="18" spans="1:11">
      <c r="A18" s="3"/>
      <c r="D18" s="3"/>
      <c r="E18" s="3"/>
      <c r="F18" s="3"/>
      <c r="G18" s="3"/>
      <c r="J18" s="3"/>
      <c r="K18" s="3"/>
    </row>
    <row r="19" spans="1:11">
      <c r="A19" s="3"/>
      <c r="D19" s="3"/>
      <c r="E19" s="3"/>
      <c r="F19" s="3"/>
      <c r="G19" s="3"/>
      <c r="J19" s="3"/>
      <c r="K19" s="3"/>
    </row>
    <row r="20" spans="1:11">
      <c r="A20" s="3"/>
      <c r="D20" s="3"/>
      <c r="E20" s="3"/>
      <c r="F20" s="3"/>
      <c r="G20" s="3"/>
      <c r="J20" s="3"/>
      <c r="K20" s="3"/>
    </row>
    <row r="21" spans="1:11">
      <c r="A21" s="3"/>
      <c r="D21" s="3"/>
      <c r="E21" s="7"/>
      <c r="F21" s="3"/>
      <c r="G21" s="3"/>
      <c r="J21" s="3"/>
      <c r="K21" s="3"/>
    </row>
    <row r="22" spans="1:11">
      <c r="A22" s="3"/>
      <c r="D22" s="3"/>
      <c r="E22" s="8"/>
      <c r="F22" s="3"/>
      <c r="G22" s="3"/>
      <c r="J22" s="3"/>
      <c r="K22" s="3"/>
    </row>
    <row r="23" spans="1:11">
      <c r="A23" s="3"/>
      <c r="D23" s="3"/>
      <c r="E23" s="3"/>
      <c r="F23" s="3"/>
      <c r="G23" s="3"/>
      <c r="J23" s="3"/>
      <c r="K23" s="3"/>
    </row>
    <row r="24" spans="1:1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>
      <c r="A25" s="3"/>
      <c r="B25" s="3"/>
      <c r="C25" s="3"/>
      <c r="D25" s="3"/>
      <c r="E25" s="3"/>
      <c r="F25" s="3"/>
      <c r="G25" s="3"/>
      <c r="H25" s="3"/>
      <c r="I25" s="3"/>
      <c r="J25" s="3"/>
      <c r="K25" s="186">
        <f>+C34</f>
        <v>30</v>
      </c>
    </row>
    <row r="26" spans="1:11">
      <c r="A26" s="3"/>
      <c r="B26" s="3"/>
      <c r="C26" s="3"/>
      <c r="D26" s="3"/>
      <c r="E26" s="186">
        <f>+C31</f>
        <v>2570</v>
      </c>
      <c r="F26" s="3"/>
      <c r="G26" s="3"/>
      <c r="H26" s="3"/>
      <c r="I26" s="3"/>
      <c r="J26" s="3"/>
      <c r="K26" s="185">
        <f>+K25/$E$34</f>
        <v>1.1811023622047245</v>
      </c>
    </row>
    <row r="27" spans="1:11" ht="17" thickBot="1">
      <c r="A27" s="3"/>
      <c r="B27" s="3"/>
      <c r="C27" s="3"/>
      <c r="D27" s="3"/>
      <c r="E27" s="185">
        <f>+E26/$E$34</f>
        <v>101.18110236220473</v>
      </c>
      <c r="F27" s="3"/>
      <c r="G27" s="3"/>
      <c r="H27" s="3"/>
      <c r="I27" s="3"/>
      <c r="J27" s="3"/>
    </row>
    <row r="28" spans="1:11">
      <c r="A28" s="9"/>
      <c r="B28" s="10" t="s">
        <v>5</v>
      </c>
      <c r="C28" s="11" t="s">
        <v>6</v>
      </c>
      <c r="D28" s="12" t="s">
        <v>7</v>
      </c>
      <c r="E28" s="328" t="str">
        <f>IF(C30&lt;=2800,"Enlightor NEO","Enlightor NEO-W")</f>
        <v>Enlightor NEO</v>
      </c>
      <c r="F28" s="329"/>
      <c r="G28" s="12" t="s">
        <v>8</v>
      </c>
      <c r="H28" s="330">
        <f ca="1">NOW()</f>
        <v>43377.415750578701</v>
      </c>
      <c r="I28" s="330"/>
      <c r="J28" s="330"/>
      <c r="K28" s="331"/>
    </row>
    <row r="29" spans="1:11">
      <c r="A29" s="136" t="s">
        <v>9</v>
      </c>
      <c r="B29" s="14">
        <f t="shared" ref="B29:B34" si="0">+C29/$E$34</f>
        <v>100</v>
      </c>
      <c r="C29" s="86">
        <v>2540</v>
      </c>
      <c r="D29" s="137" t="s">
        <v>10</v>
      </c>
      <c r="E29" s="332">
        <v>1.78</v>
      </c>
      <c r="F29" s="333"/>
      <c r="G29" s="16" t="s">
        <v>11</v>
      </c>
      <c r="H29" s="334"/>
      <c r="I29" s="334"/>
      <c r="J29" s="334"/>
      <c r="K29" s="335"/>
    </row>
    <row r="30" spans="1:11">
      <c r="A30" s="13" t="s">
        <v>12</v>
      </c>
      <c r="B30" s="14">
        <f t="shared" si="0"/>
        <v>56.17977528089888</v>
      </c>
      <c r="C30" s="17">
        <f>C29/E29</f>
        <v>1426.9662921348315</v>
      </c>
      <c r="D30" s="16" t="s">
        <v>13</v>
      </c>
      <c r="E30" s="321" t="s">
        <v>14</v>
      </c>
      <c r="F30" s="322"/>
      <c r="G30" s="16" t="s">
        <v>15</v>
      </c>
      <c r="H30" s="323"/>
      <c r="I30" s="324"/>
      <c r="J30" s="324"/>
      <c r="K30" s="325"/>
    </row>
    <row r="31" spans="1:11">
      <c r="A31" s="13" t="s">
        <v>16</v>
      </c>
      <c r="B31" s="14">
        <f t="shared" si="0"/>
        <v>101.18110236220473</v>
      </c>
      <c r="C31" s="18">
        <f>+C29+(2*E33)</f>
        <v>2570</v>
      </c>
      <c r="D31" s="16" t="s">
        <v>17</v>
      </c>
      <c r="E31" s="19" t="s">
        <v>14</v>
      </c>
      <c r="F31" s="20" t="s">
        <v>18</v>
      </c>
      <c r="G31" s="3"/>
      <c r="H31" s="3"/>
      <c r="I31" s="3"/>
      <c r="J31" s="3"/>
      <c r="K31" s="21"/>
    </row>
    <row r="32" spans="1:11">
      <c r="A32" s="13" t="s">
        <v>19</v>
      </c>
      <c r="B32" s="14">
        <f t="shared" si="0"/>
        <v>57.360877643103606</v>
      </c>
      <c r="C32" s="18">
        <f>+C30+(2*E33)</f>
        <v>1456.9662921348315</v>
      </c>
      <c r="D32" s="22" t="s">
        <v>20</v>
      </c>
      <c r="E32" s="23" t="s">
        <v>14</v>
      </c>
      <c r="F32" s="24"/>
      <c r="G32" s="25"/>
      <c r="H32" s="25"/>
      <c r="I32" s="25"/>
      <c r="J32" s="25"/>
      <c r="K32" s="26"/>
    </row>
    <row r="33" spans="1:11">
      <c r="A33" s="13" t="s">
        <v>21</v>
      </c>
      <c r="B33" s="14">
        <f t="shared" si="0"/>
        <v>114.70033631429465</v>
      </c>
      <c r="C33" s="18">
        <f>SQRT((C29^2)+(C30^2))</f>
        <v>2913.3885423830839</v>
      </c>
      <c r="D33" s="22" t="s">
        <v>22</v>
      </c>
      <c r="E33" s="27">
        <v>15</v>
      </c>
      <c r="F33" s="24"/>
      <c r="G33" s="25"/>
      <c r="H33" s="25"/>
      <c r="I33" s="25"/>
      <c r="J33" s="25"/>
      <c r="K33" s="26"/>
    </row>
    <row r="34" spans="1:11" ht="16" customHeight="1" thickBot="1">
      <c r="A34" s="28" t="s">
        <v>23</v>
      </c>
      <c r="B34" s="29">
        <f t="shared" si="0"/>
        <v>1.1811023622047245</v>
      </c>
      <c r="C34" s="30">
        <v>30</v>
      </c>
      <c r="D34" s="31" t="s">
        <v>24</v>
      </c>
      <c r="E34" s="32">
        <v>25.4</v>
      </c>
      <c r="F34" s="33"/>
      <c r="G34" s="33"/>
      <c r="H34" s="33"/>
      <c r="I34" s="33"/>
      <c r="J34" s="33"/>
      <c r="K34" s="34" t="s">
        <v>25</v>
      </c>
    </row>
    <row r="35" spans="1:11" ht="16" customHeight="1">
      <c r="D35" s="3"/>
      <c r="E35" s="3"/>
    </row>
    <row r="36" spans="1:11" ht="16" customHeight="1">
      <c r="B36" s="112" t="s">
        <v>26</v>
      </c>
      <c r="C36" s="115"/>
      <c r="D36" s="120"/>
      <c r="E36" s="120"/>
      <c r="F36" s="115"/>
      <c r="G36" s="115"/>
      <c r="H36" s="115"/>
      <c r="I36" s="115"/>
      <c r="J36" s="115"/>
      <c r="K36" s="115"/>
    </row>
    <row r="37" spans="1:11" ht="7" customHeight="1">
      <c r="B37" s="113"/>
      <c r="C37" s="3"/>
      <c r="D37" s="25"/>
      <c r="E37" s="25"/>
      <c r="F37" s="3"/>
    </row>
    <row r="38" spans="1:11" ht="16" customHeight="1">
      <c r="B38" s="108"/>
      <c r="C38" s="121" t="s">
        <v>27</v>
      </c>
      <c r="D38" s="121" t="s">
        <v>5</v>
      </c>
      <c r="E38" s="121" t="s">
        <v>6</v>
      </c>
    </row>
    <row r="39" spans="1:11" ht="16" customHeight="1">
      <c r="B39" s="108" t="s">
        <v>28</v>
      </c>
      <c r="C39" s="111" t="s">
        <v>29</v>
      </c>
      <c r="D39" s="110">
        <v>140</v>
      </c>
      <c r="E39" s="110">
        <f>D39*25.4</f>
        <v>3556</v>
      </c>
      <c r="F39" s="3"/>
    </row>
    <row r="40" spans="1:11" ht="16" customHeight="1">
      <c r="B40" s="108" t="s">
        <v>30</v>
      </c>
      <c r="C40" s="111" t="s">
        <v>31</v>
      </c>
      <c r="D40" s="110">
        <v>140</v>
      </c>
      <c r="E40" s="110">
        <f>D40*25.4</f>
        <v>3556</v>
      </c>
      <c r="G40" s="3" t="s">
        <v>32</v>
      </c>
    </row>
    <row r="41" spans="1:11" ht="16" customHeight="1"/>
    <row r="42" spans="1:11" ht="16" customHeight="1">
      <c r="B42" s="107" t="s">
        <v>33</v>
      </c>
      <c r="C42" s="115"/>
      <c r="D42" s="115"/>
      <c r="E42" s="115"/>
      <c r="F42" s="115"/>
      <c r="G42" s="115"/>
      <c r="H42" s="115"/>
      <c r="I42" s="115"/>
      <c r="J42" s="115"/>
      <c r="K42" s="115"/>
    </row>
    <row r="43" spans="1:11" ht="16" customHeight="1">
      <c r="B43" s="35" t="s">
        <v>34</v>
      </c>
      <c r="C43" s="35"/>
      <c r="D43" s="35"/>
      <c r="E43" s="35"/>
      <c r="F43" s="35"/>
      <c r="G43" s="35"/>
      <c r="H43" s="35"/>
    </row>
    <row r="44" spans="1:11">
      <c r="B44" s="35" t="s">
        <v>35</v>
      </c>
      <c r="C44" s="35"/>
      <c r="D44" s="35"/>
      <c r="E44" s="35"/>
      <c r="F44" s="35"/>
      <c r="G44" s="35"/>
      <c r="H44" s="35"/>
    </row>
    <row r="45" spans="1:11">
      <c r="B45" s="35" t="s">
        <v>36</v>
      </c>
      <c r="C45" s="35"/>
      <c r="D45" s="35"/>
      <c r="E45" s="35"/>
      <c r="F45" s="35"/>
      <c r="G45" s="35"/>
      <c r="H45" s="35"/>
    </row>
    <row r="46" spans="1:11">
      <c r="B46" s="35" t="s">
        <v>37</v>
      </c>
      <c r="C46" s="35"/>
      <c r="D46" s="35"/>
      <c r="E46" s="35"/>
      <c r="F46" s="35"/>
      <c r="G46" s="35"/>
      <c r="H46" s="35"/>
    </row>
    <row r="47" spans="1:11" ht="10" customHeight="1">
      <c r="B47" s="35"/>
      <c r="C47" s="35"/>
      <c r="D47" s="35"/>
      <c r="E47" s="35"/>
      <c r="F47" s="35"/>
      <c r="G47" s="35"/>
      <c r="H47" s="35"/>
    </row>
    <row r="48" spans="1:11">
      <c r="B48" s="107" t="s">
        <v>38</v>
      </c>
      <c r="C48" s="115"/>
      <c r="D48" s="115"/>
      <c r="E48" s="115"/>
      <c r="F48" s="115"/>
      <c r="G48" s="115"/>
      <c r="H48" s="115"/>
      <c r="I48" s="115"/>
      <c r="J48" s="115"/>
      <c r="K48" s="115"/>
    </row>
    <row r="49" spans="2:3">
      <c r="B49" s="1" t="s">
        <v>39</v>
      </c>
    </row>
    <row r="50" spans="2:3">
      <c r="B50" s="1" t="s">
        <v>40</v>
      </c>
    </row>
    <row r="51" spans="2:3" ht="8" customHeight="1"/>
    <row r="52" spans="2:3">
      <c r="B52" s="36">
        <f>+E26/2+70</f>
        <v>1355</v>
      </c>
      <c r="C52" s="1" t="s">
        <v>41</v>
      </c>
    </row>
    <row r="53" spans="2:3">
      <c r="B53" s="36">
        <v>250</v>
      </c>
      <c r="C53" s="1" t="s">
        <v>42</v>
      </c>
    </row>
    <row r="54" spans="2:3">
      <c r="B54" s="36">
        <v>200</v>
      </c>
      <c r="C54" s="1" t="s">
        <v>43</v>
      </c>
    </row>
    <row r="55" spans="2:3">
      <c r="B55" s="37"/>
    </row>
    <row r="56" spans="2:3">
      <c r="B56" s="37"/>
    </row>
    <row r="57" spans="2:3">
      <c r="B57" s="37"/>
    </row>
    <row r="58" spans="2:3">
      <c r="B58" s="37"/>
    </row>
    <row r="59" spans="2:3">
      <c r="B59" s="37"/>
    </row>
    <row r="60" spans="2:3">
      <c r="B60" s="37"/>
    </row>
    <row r="61" spans="2:3">
      <c r="B61" s="37"/>
    </row>
    <row r="62" spans="2:3">
      <c r="B62" s="37"/>
    </row>
    <row r="63" spans="2:3">
      <c r="B63" s="37"/>
    </row>
    <row r="64" spans="2:3">
      <c r="B64" s="37"/>
    </row>
    <row r="65" spans="2:2">
      <c r="B65" s="37"/>
    </row>
    <row r="66" spans="2:2">
      <c r="B66" s="37"/>
    </row>
    <row r="67" spans="2:2">
      <c r="B67" s="37"/>
    </row>
    <row r="68" spans="2:2">
      <c r="B68" s="37"/>
    </row>
    <row r="69" spans="2:2">
      <c r="B69" s="37"/>
    </row>
    <row r="70" spans="2:2">
      <c r="B70" s="37"/>
    </row>
    <row r="71" spans="2:2">
      <c r="B71" s="37"/>
    </row>
    <row r="72" spans="2:2">
      <c r="B72" s="37"/>
    </row>
    <row r="73" spans="2:2">
      <c r="B73" s="37"/>
    </row>
    <row r="74" spans="2:2">
      <c r="B74" s="37"/>
    </row>
    <row r="75" spans="2:2">
      <c r="B75" s="37"/>
    </row>
    <row r="76" spans="2:2">
      <c r="B76" s="37"/>
    </row>
    <row r="77" spans="2:2">
      <c r="B77" s="37"/>
    </row>
    <row r="78" spans="2:2">
      <c r="B78" s="37"/>
    </row>
    <row r="79" spans="2:2">
      <c r="B79" s="37"/>
    </row>
    <row r="80" spans="2:2">
      <c r="B80" s="37"/>
    </row>
    <row r="81" spans="2:2">
      <c r="B81" s="37"/>
    </row>
    <row r="82" spans="2:2">
      <c r="B82" s="37"/>
    </row>
    <row r="83" spans="2:2">
      <c r="B83" s="37"/>
    </row>
    <row r="84" spans="2:2">
      <c r="B84" s="37"/>
    </row>
    <row r="85" spans="2:2">
      <c r="B85" s="37"/>
    </row>
    <row r="86" spans="2:2">
      <c r="B86" s="37"/>
    </row>
    <row r="87" spans="2:2">
      <c r="B87" s="37"/>
    </row>
    <row r="88" spans="2:2">
      <c r="B88" s="37"/>
    </row>
    <row r="89" spans="2:2">
      <c r="B89" s="37"/>
    </row>
    <row r="90" spans="2:2">
      <c r="B90" s="37"/>
    </row>
    <row r="91" spans="2:2">
      <c r="B91" s="37"/>
    </row>
    <row r="92" spans="2:2">
      <c r="B92" s="37"/>
    </row>
    <row r="93" spans="2:2">
      <c r="B93" s="37"/>
    </row>
    <row r="94" spans="2:2">
      <c r="B94" s="37"/>
    </row>
    <row r="95" spans="2:2">
      <c r="B95" s="37"/>
    </row>
    <row r="96" spans="2:2">
      <c r="B96" s="37"/>
    </row>
    <row r="97" spans="2:2">
      <c r="B97" s="37"/>
    </row>
    <row r="98" spans="2:2">
      <c r="B98" s="37"/>
    </row>
    <row r="99" spans="2:2">
      <c r="B99" s="37"/>
    </row>
    <row r="100" spans="2:2">
      <c r="B100" s="37"/>
    </row>
    <row r="101" spans="2:2">
      <c r="B101" s="37"/>
    </row>
    <row r="102" spans="2:2">
      <c r="B102" s="37"/>
    </row>
    <row r="103" spans="2:2">
      <c r="B103" s="37"/>
    </row>
    <row r="104" spans="2:2">
      <c r="B104" s="37"/>
    </row>
    <row r="105" spans="2:2">
      <c r="B105" s="37"/>
    </row>
    <row r="106" spans="2:2">
      <c r="B106" s="37"/>
    </row>
    <row r="107" spans="2:2">
      <c r="B107" s="37"/>
    </row>
    <row r="108" spans="2:2">
      <c r="B108" s="37"/>
    </row>
  </sheetData>
  <mergeCells count="8"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" footer="0"/>
  <pageSetup paperSize="9" scale="75" orientation="portrait" horizontalDpi="4294967292" verticalDpi="4294967292" r:id="rId1"/>
  <headerFooter>
    <oddHeader>&amp;C&amp;"Calibri,Bold"&amp;14&amp;K000000Screen Excellence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59"/>
  <sheetViews>
    <sheetView showGridLines="0" workbookViewId="0">
      <selection activeCell="F45" sqref="F45"/>
    </sheetView>
  </sheetViews>
  <sheetFormatPr baseColWidth="10" defaultColWidth="10.83203125" defaultRowHeight="16"/>
  <cols>
    <col min="1" max="1" width="10" style="38" customWidth="1"/>
    <col min="2" max="16384" width="10.83203125" style="38"/>
  </cols>
  <sheetData>
    <row r="1" spans="1:11" ht="39" customHeight="1">
      <c r="A1" s="345" t="s">
        <v>44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</row>
    <row r="2" spans="1:11" s="39" customFormat="1" ht="39" customHeight="1">
      <c r="A2" s="346" t="str">
        <f>+ROUND(B30,0)&amp;""""&amp;" "&amp;ROUND(E30,2)&amp;" Aspect Ratio"</f>
        <v>100" 1.78 Aspect Ratio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</row>
    <row r="3" spans="1:1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>
      <c r="A4" s="40"/>
      <c r="D4" s="40"/>
      <c r="E4" s="40"/>
      <c r="F4" s="40"/>
      <c r="G4" s="40"/>
      <c r="J4" s="40"/>
      <c r="K4" s="40"/>
    </row>
    <row r="5" spans="1:11">
      <c r="A5" s="40"/>
      <c r="D5" s="40"/>
      <c r="E5" s="186">
        <f>+C30</f>
        <v>2540</v>
      </c>
      <c r="F5" s="40"/>
      <c r="G5" s="40"/>
      <c r="J5" s="40"/>
      <c r="K5" s="40"/>
    </row>
    <row r="6" spans="1:11">
      <c r="A6" s="40"/>
      <c r="D6" s="40"/>
      <c r="E6" s="4">
        <f>+E5/$E$35</f>
        <v>100</v>
      </c>
      <c r="G6" s="40"/>
      <c r="J6" s="40"/>
      <c r="K6" s="40"/>
    </row>
    <row r="7" spans="1:11">
      <c r="A7" s="40"/>
      <c r="D7" s="40"/>
      <c r="E7" s="40"/>
      <c r="F7" s="40"/>
      <c r="G7" s="40"/>
      <c r="J7" s="40"/>
      <c r="K7" s="40"/>
    </row>
    <row r="8" spans="1:11">
      <c r="A8" s="40"/>
      <c r="D8" s="40"/>
      <c r="E8" s="40"/>
      <c r="F8" s="40"/>
      <c r="G8" s="40"/>
      <c r="J8" s="40"/>
      <c r="K8" s="40"/>
    </row>
    <row r="9" spans="1:11">
      <c r="A9" s="40"/>
      <c r="E9" s="40"/>
      <c r="F9" s="40"/>
      <c r="G9" s="40"/>
      <c r="J9" s="40"/>
      <c r="K9" s="40"/>
    </row>
    <row r="10" spans="1:11">
      <c r="A10" s="40"/>
      <c r="D10" s="40"/>
      <c r="E10" s="40"/>
      <c r="F10" s="40"/>
      <c r="G10" s="40"/>
      <c r="J10" s="40"/>
      <c r="K10" s="40"/>
    </row>
    <row r="11" spans="1:11">
      <c r="A11" s="40"/>
      <c r="D11" s="186">
        <f>+C31</f>
        <v>1426.9662921348315</v>
      </c>
      <c r="E11" s="40"/>
      <c r="G11" s="40"/>
      <c r="K11" s="40"/>
    </row>
    <row r="12" spans="1:11">
      <c r="A12" s="40"/>
      <c r="D12" s="185">
        <f>+D11/$E$35</f>
        <v>56.17977528089888</v>
      </c>
      <c r="E12" s="40"/>
      <c r="F12" s="41"/>
      <c r="G12" s="40"/>
      <c r="J12" s="40"/>
      <c r="K12" s="40"/>
    </row>
    <row r="13" spans="1:11">
      <c r="A13" s="40"/>
      <c r="D13" s="40"/>
      <c r="E13" s="40"/>
      <c r="F13" s="40"/>
      <c r="G13" s="40"/>
      <c r="J13" s="6">
        <f>+C33</f>
        <v>1502.9662921348315</v>
      </c>
      <c r="K13" s="40"/>
    </row>
    <row r="14" spans="1:11">
      <c r="A14" s="40"/>
      <c r="D14" s="40"/>
      <c r="E14" s="40"/>
      <c r="F14" s="186">
        <f>+C34</f>
        <v>2913.3885423830839</v>
      </c>
      <c r="G14" s="40"/>
      <c r="J14" s="42">
        <f>+J13/$E$35</f>
        <v>59.171901265150851</v>
      </c>
      <c r="K14" s="40"/>
    </row>
    <row r="15" spans="1:11">
      <c r="A15" s="40"/>
      <c r="D15" s="40"/>
      <c r="E15" s="40"/>
      <c r="F15" s="185">
        <f>+F14/$E$35</f>
        <v>114.70033631429465</v>
      </c>
      <c r="G15" s="40"/>
      <c r="J15" s="40"/>
      <c r="K15" s="40"/>
    </row>
    <row r="16" spans="1:11">
      <c r="A16" s="40"/>
      <c r="D16" s="40"/>
      <c r="E16" s="40"/>
      <c r="F16" s="40"/>
      <c r="G16" s="40"/>
      <c r="J16" s="40"/>
      <c r="K16" s="40"/>
    </row>
    <row r="17" spans="1:11">
      <c r="A17" s="40"/>
      <c r="D17" s="40"/>
      <c r="E17" s="40"/>
      <c r="F17" s="40"/>
      <c r="G17" s="40"/>
      <c r="J17" s="40"/>
      <c r="K17" s="40"/>
    </row>
    <row r="18" spans="1:11">
      <c r="A18" s="40"/>
      <c r="D18" s="40"/>
      <c r="E18" s="40"/>
      <c r="F18" s="40"/>
      <c r="G18" s="40"/>
      <c r="J18" s="40"/>
      <c r="K18" s="40"/>
    </row>
    <row r="19" spans="1:11">
      <c r="A19" s="40"/>
      <c r="D19" s="40"/>
      <c r="E19" s="40"/>
      <c r="F19" s="40"/>
      <c r="G19" s="40"/>
      <c r="J19" s="40"/>
      <c r="K19" s="40"/>
    </row>
    <row r="20" spans="1:11">
      <c r="A20" s="40"/>
      <c r="D20" s="40"/>
      <c r="E20" s="40"/>
      <c r="F20" s="40"/>
      <c r="G20" s="40"/>
      <c r="J20" s="40"/>
      <c r="K20" s="40"/>
    </row>
    <row r="21" spans="1:11">
      <c r="A21" s="40"/>
      <c r="D21" s="40"/>
      <c r="E21" s="43"/>
      <c r="F21" s="40"/>
      <c r="G21" s="40"/>
      <c r="J21" s="40"/>
      <c r="K21" s="40"/>
    </row>
    <row r="22" spans="1:11">
      <c r="A22" s="40"/>
      <c r="D22" s="40"/>
      <c r="F22" s="40"/>
      <c r="G22" s="40"/>
      <c r="J22" s="40"/>
      <c r="K22" s="40"/>
    </row>
    <row r="23" spans="1:11">
      <c r="A23" s="40"/>
      <c r="D23" s="40"/>
      <c r="E23" s="40"/>
      <c r="F23" s="40"/>
      <c r="G23" s="40"/>
      <c r="J23" s="40"/>
      <c r="K23" s="40"/>
    </row>
    <row r="24" spans="1:1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1:1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186">
        <f>+C35</f>
        <v>38</v>
      </c>
    </row>
    <row r="26" spans="1:11">
      <c r="A26" s="40"/>
      <c r="B26" s="40"/>
      <c r="C26" s="40"/>
      <c r="D26" s="40"/>
      <c r="E26" s="186">
        <f>+C32</f>
        <v>2616</v>
      </c>
      <c r="F26" s="40"/>
      <c r="G26" s="40"/>
      <c r="H26" s="40"/>
      <c r="I26" s="40"/>
      <c r="J26" s="40"/>
      <c r="K26" s="185">
        <f>+K25/$E$35</f>
        <v>1.4960629921259843</v>
      </c>
    </row>
    <row r="27" spans="1:11">
      <c r="A27" s="40"/>
      <c r="B27" s="40"/>
      <c r="C27" s="40"/>
      <c r="D27" s="40"/>
      <c r="E27" s="4">
        <f>+E26/$E$35</f>
        <v>102.99212598425197</v>
      </c>
      <c r="F27" s="40"/>
      <c r="G27" s="40"/>
      <c r="H27" s="40"/>
      <c r="I27" s="40"/>
      <c r="J27" s="40"/>
    </row>
    <row r="28" spans="1:11" ht="17" thickBot="1">
      <c r="A28" s="40"/>
      <c r="B28" s="40"/>
      <c r="C28" s="40"/>
      <c r="D28" s="40"/>
      <c r="E28" s="4"/>
      <c r="F28" s="40"/>
      <c r="G28" s="40"/>
      <c r="H28" s="40"/>
      <c r="I28" s="40"/>
      <c r="J28" s="40"/>
    </row>
    <row r="29" spans="1:11">
      <c r="A29" s="44"/>
      <c r="B29" s="45" t="s">
        <v>5</v>
      </c>
      <c r="C29" s="46" t="s">
        <v>6</v>
      </c>
      <c r="D29" s="47" t="s">
        <v>7</v>
      </c>
      <c r="E29" s="328" t="s">
        <v>45</v>
      </c>
      <c r="F29" s="329"/>
      <c r="G29" s="47" t="s">
        <v>8</v>
      </c>
      <c r="H29" s="330">
        <f ca="1">NOW()</f>
        <v>43377.415750578701</v>
      </c>
      <c r="I29" s="330"/>
      <c r="J29" s="330"/>
      <c r="K29" s="331"/>
    </row>
    <row r="30" spans="1:11">
      <c r="A30" s="48" t="s">
        <v>9</v>
      </c>
      <c r="B30" s="49">
        <f t="shared" ref="B30:B35" si="0">+C30/$E$35</f>
        <v>100</v>
      </c>
      <c r="C30" s="15">
        <v>2540</v>
      </c>
      <c r="D30" s="50" t="s">
        <v>10</v>
      </c>
      <c r="E30" s="332">
        <v>1.78</v>
      </c>
      <c r="F30" s="333"/>
      <c r="G30" s="51" t="s">
        <v>11</v>
      </c>
      <c r="H30" s="347"/>
      <c r="I30" s="347"/>
      <c r="J30" s="347"/>
      <c r="K30" s="348"/>
    </row>
    <row r="31" spans="1:11">
      <c r="A31" s="48" t="s">
        <v>12</v>
      </c>
      <c r="B31" s="49">
        <f t="shared" si="0"/>
        <v>56.17977528089888</v>
      </c>
      <c r="C31" s="17">
        <f>C30/E30</f>
        <v>1426.9662921348315</v>
      </c>
      <c r="D31" s="50" t="s">
        <v>13</v>
      </c>
      <c r="E31" s="354" t="s">
        <v>14</v>
      </c>
      <c r="F31" s="355"/>
      <c r="G31" s="51" t="s">
        <v>15</v>
      </c>
      <c r="H31" s="336"/>
      <c r="I31" s="337"/>
      <c r="J31" s="337"/>
      <c r="K31" s="338"/>
    </row>
    <row r="32" spans="1:11">
      <c r="A32" s="48" t="s">
        <v>16</v>
      </c>
      <c r="B32" s="49">
        <f t="shared" si="0"/>
        <v>102.99212598425197</v>
      </c>
      <c r="C32" s="18">
        <f>+C30+(2*E34)</f>
        <v>2616</v>
      </c>
      <c r="D32" s="51" t="s">
        <v>17</v>
      </c>
      <c r="E32" s="54" t="s">
        <v>14</v>
      </c>
      <c r="F32" s="55" t="s">
        <v>18</v>
      </c>
      <c r="G32" s="40"/>
      <c r="H32" s="40"/>
      <c r="I32" s="40"/>
      <c r="J32" s="40"/>
      <c r="K32" s="56" t="s">
        <v>46</v>
      </c>
    </row>
    <row r="33" spans="1:11">
      <c r="A33" s="48" t="s">
        <v>19</v>
      </c>
      <c r="B33" s="49">
        <f t="shared" si="0"/>
        <v>59.171901265150851</v>
      </c>
      <c r="C33" s="18">
        <f>+C31+(2*E34)</f>
        <v>1502.9662921348315</v>
      </c>
      <c r="D33" s="57" t="s">
        <v>20</v>
      </c>
      <c r="E33" s="58" t="s">
        <v>14</v>
      </c>
      <c r="F33" s="339"/>
      <c r="G33" s="340"/>
      <c r="H33" s="340"/>
      <c r="I33" s="340"/>
      <c r="J33" s="340"/>
      <c r="K33" s="341"/>
    </row>
    <row r="34" spans="1:11">
      <c r="A34" s="48" t="s">
        <v>21</v>
      </c>
      <c r="B34" s="49">
        <f t="shared" si="0"/>
        <v>114.70033631429465</v>
      </c>
      <c r="C34" s="18">
        <f>SQRT((C30^2)+(C31^2))</f>
        <v>2913.3885423830839</v>
      </c>
      <c r="D34" s="57" t="s">
        <v>22</v>
      </c>
      <c r="E34" s="52">
        <v>38</v>
      </c>
      <c r="F34" s="339"/>
      <c r="G34" s="340"/>
      <c r="H34" s="340"/>
      <c r="I34" s="340"/>
      <c r="J34" s="340"/>
      <c r="K34" s="341"/>
    </row>
    <row r="35" spans="1:11" ht="17" thickBot="1">
      <c r="A35" s="59" t="s">
        <v>23</v>
      </c>
      <c r="B35" s="60">
        <f t="shared" si="0"/>
        <v>1.4960629921259843</v>
      </c>
      <c r="C35" s="74">
        <v>38</v>
      </c>
      <c r="D35" s="62" t="s">
        <v>24</v>
      </c>
      <c r="E35" s="63">
        <v>25.4</v>
      </c>
      <c r="F35" s="342"/>
      <c r="G35" s="343"/>
      <c r="H35" s="343"/>
      <c r="I35" s="343"/>
      <c r="J35" s="343"/>
      <c r="K35" s="344"/>
    </row>
    <row r="37" spans="1:11" s="1" customFormat="1" ht="16" customHeight="1">
      <c r="B37" s="112" t="s">
        <v>26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s="1" customFormat="1" ht="7" customHeight="1">
      <c r="B38" s="113"/>
      <c r="C38" s="3"/>
      <c r="D38" s="25"/>
      <c r="E38" s="25"/>
      <c r="F38" s="3"/>
    </row>
    <row r="39" spans="1:11" s="1" customFormat="1" ht="16" customHeight="1">
      <c r="B39" s="174" t="s">
        <v>47</v>
      </c>
      <c r="C39" s="115"/>
      <c r="D39" s="349" t="s">
        <v>27</v>
      </c>
      <c r="E39" s="350"/>
      <c r="F39" s="182" t="s">
        <v>5</v>
      </c>
      <c r="G39" s="182" t="s">
        <v>6</v>
      </c>
    </row>
    <row r="40" spans="1:11" s="1" customFormat="1" ht="16" customHeight="1">
      <c r="B40" s="351" t="s">
        <v>48</v>
      </c>
      <c r="C40" s="351"/>
      <c r="D40" s="169" t="s">
        <v>28</v>
      </c>
      <c r="E40" s="163" t="s">
        <v>29</v>
      </c>
      <c r="F40" s="169">
        <v>106</v>
      </c>
      <c r="G40" s="172">
        <f t="shared" ref="G40:G45" si="1">F40*25.4</f>
        <v>2692.3999999999996</v>
      </c>
    </row>
    <row r="41" spans="1:11" s="1" customFormat="1" ht="16" customHeight="1">
      <c r="B41" s="352"/>
      <c r="C41" s="352"/>
      <c r="D41" s="170" t="s">
        <v>30</v>
      </c>
      <c r="E41" s="167" t="s">
        <v>49</v>
      </c>
      <c r="F41" s="170">
        <v>140</v>
      </c>
      <c r="G41" s="173">
        <f t="shared" si="1"/>
        <v>3556</v>
      </c>
    </row>
    <row r="42" spans="1:11" s="1" customFormat="1" ht="16" customHeight="1">
      <c r="B42" s="353" t="s">
        <v>127</v>
      </c>
      <c r="C42" s="353"/>
      <c r="D42" s="171" t="s">
        <v>28</v>
      </c>
      <c r="E42" s="168" t="s">
        <v>29</v>
      </c>
      <c r="F42" s="171">
        <v>130</v>
      </c>
      <c r="G42" s="171">
        <f t="shared" si="1"/>
        <v>3302</v>
      </c>
    </row>
    <row r="43" spans="1:11" s="1" customFormat="1" ht="16" customHeight="1">
      <c r="B43" s="352"/>
      <c r="C43" s="352"/>
      <c r="D43" s="170" t="s">
        <v>30</v>
      </c>
      <c r="E43" s="167" t="s">
        <v>49</v>
      </c>
      <c r="F43" s="170">
        <v>140</v>
      </c>
      <c r="G43" s="173">
        <f t="shared" si="1"/>
        <v>3556</v>
      </c>
    </row>
    <row r="44" spans="1:11" s="1" customFormat="1" ht="16" customHeight="1">
      <c r="B44" s="353" t="s">
        <v>141</v>
      </c>
      <c r="C44" s="353"/>
      <c r="D44" s="171" t="s">
        <v>28</v>
      </c>
      <c r="E44" s="168" t="s">
        <v>29</v>
      </c>
      <c r="F44" s="171">
        <v>140</v>
      </c>
      <c r="G44" s="171">
        <f t="shared" si="1"/>
        <v>3556</v>
      </c>
    </row>
    <row r="45" spans="1:11" s="1" customFormat="1" ht="16" customHeight="1">
      <c r="B45" s="352"/>
      <c r="C45" s="352"/>
      <c r="D45" s="170" t="s">
        <v>30</v>
      </c>
      <c r="E45" s="167" t="s">
        <v>49</v>
      </c>
      <c r="F45" s="170">
        <v>140</v>
      </c>
      <c r="G45" s="173">
        <f t="shared" si="1"/>
        <v>3556</v>
      </c>
      <c r="H45" s="3" t="s">
        <v>32</v>
      </c>
    </row>
    <row r="46" spans="1:11" s="1" customFormat="1" ht="16" customHeight="1">
      <c r="B46" s="3"/>
      <c r="D46" s="162"/>
      <c r="E46" s="163"/>
      <c r="F46" s="110"/>
      <c r="G46" s="110"/>
      <c r="H46" s="3"/>
    </row>
    <row r="47" spans="1:11">
      <c r="G47" s="3"/>
    </row>
    <row r="48" spans="1:11">
      <c r="B48" s="131" t="s">
        <v>33</v>
      </c>
      <c r="C48" s="132"/>
      <c r="D48" s="132"/>
      <c r="E48" s="132"/>
      <c r="F48" s="132"/>
      <c r="G48" s="132"/>
      <c r="H48" s="132"/>
      <c r="I48" s="132"/>
      <c r="J48" s="132"/>
      <c r="K48" s="132"/>
    </row>
    <row r="49" spans="2:11">
      <c r="B49" s="64" t="s">
        <v>51</v>
      </c>
      <c r="C49" s="64"/>
      <c r="D49" s="64"/>
      <c r="E49" s="64"/>
      <c r="F49" s="64"/>
      <c r="G49" s="64"/>
      <c r="H49" s="64"/>
    </row>
    <row r="50" spans="2:11">
      <c r="B50" s="64" t="s">
        <v>52</v>
      </c>
      <c r="C50" s="64"/>
      <c r="D50" s="64"/>
      <c r="E50" s="64"/>
      <c r="F50" s="64"/>
      <c r="G50" s="64"/>
      <c r="H50" s="64"/>
    </row>
    <row r="51" spans="2:11">
      <c r="B51" s="64"/>
      <c r="C51" s="64"/>
      <c r="D51" s="64"/>
      <c r="E51" s="64"/>
      <c r="F51" s="64"/>
      <c r="G51" s="64"/>
      <c r="H51" s="64"/>
    </row>
    <row r="52" spans="2:11">
      <c r="B52" s="131" t="s">
        <v>38</v>
      </c>
      <c r="C52" s="132"/>
      <c r="D52" s="132"/>
      <c r="E52" s="132"/>
      <c r="F52" s="132"/>
      <c r="G52" s="132"/>
      <c r="H52" s="132"/>
      <c r="I52" s="132"/>
      <c r="J52" s="132"/>
      <c r="K52" s="132"/>
    </row>
    <row r="53" spans="2:11">
      <c r="B53" s="38" t="s">
        <v>149</v>
      </c>
    </row>
    <row r="54" spans="2:11">
      <c r="B54" s="38" t="s">
        <v>40</v>
      </c>
    </row>
    <row r="56" spans="2:11">
      <c r="B56" s="65">
        <f>(+E26/2)+350</f>
        <v>1658</v>
      </c>
      <c r="C56" s="38" t="s">
        <v>41</v>
      </c>
    </row>
    <row r="57" spans="2:11">
      <c r="B57" s="65">
        <v>350</v>
      </c>
      <c r="C57" s="38" t="s">
        <v>42</v>
      </c>
    </row>
    <row r="58" spans="2:11">
      <c r="B58" s="65">
        <v>250</v>
      </c>
      <c r="C58" s="38" t="s">
        <v>23</v>
      </c>
    </row>
    <row r="59" spans="2:11">
      <c r="B59" s="66"/>
      <c r="D59" s="67"/>
    </row>
  </sheetData>
  <mergeCells count="13">
    <mergeCell ref="D39:E39"/>
    <mergeCell ref="B40:C41"/>
    <mergeCell ref="B44:C45"/>
    <mergeCell ref="E31:F31"/>
    <mergeCell ref="B42:C43"/>
    <mergeCell ref="H31:K31"/>
    <mergeCell ref="F33:K35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75" fitToHeight="2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59"/>
  <sheetViews>
    <sheetView showGridLines="0" workbookViewId="0">
      <selection activeCell="E29" sqref="E29:F29"/>
    </sheetView>
  </sheetViews>
  <sheetFormatPr baseColWidth="10" defaultColWidth="10.83203125" defaultRowHeight="16"/>
  <cols>
    <col min="1" max="1" width="10" style="38" customWidth="1"/>
    <col min="2" max="16384" width="10.83203125" style="38"/>
  </cols>
  <sheetData>
    <row r="1" spans="1:11" ht="36" customHeight="1">
      <c r="A1" s="345" t="s">
        <v>139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</row>
    <row r="2" spans="1:11" s="39" customFormat="1" ht="36" customHeight="1">
      <c r="A2" s="346" t="str">
        <f>+ROUND(B30,0)&amp;""""&amp;" "&amp;ROUND(E30,2)&amp;" Aspect Ratio"</f>
        <v>100" 1.78 Aspect Ratio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</row>
    <row r="3" spans="1:1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>
      <c r="A4" s="40"/>
      <c r="D4" s="40"/>
      <c r="E4" s="40"/>
      <c r="F4" s="40"/>
      <c r="G4" s="40"/>
      <c r="J4" s="40"/>
      <c r="K4" s="40"/>
    </row>
    <row r="5" spans="1:11">
      <c r="A5" s="40"/>
      <c r="D5" s="40"/>
      <c r="E5" s="291">
        <f>+C30</f>
        <v>2540</v>
      </c>
      <c r="F5" s="40"/>
      <c r="G5" s="40"/>
      <c r="J5" s="40"/>
      <c r="K5" s="40"/>
    </row>
    <row r="6" spans="1:11">
      <c r="A6" s="40"/>
      <c r="D6" s="40"/>
      <c r="E6" s="4">
        <f>+E5/$E$35</f>
        <v>100</v>
      </c>
      <c r="G6" s="40"/>
      <c r="J6" s="40"/>
      <c r="K6" s="40"/>
    </row>
    <row r="7" spans="1:11">
      <c r="A7" s="40"/>
      <c r="D7" s="40"/>
      <c r="E7" s="40"/>
      <c r="F7" s="40"/>
      <c r="G7" s="40"/>
      <c r="J7" s="40"/>
      <c r="K7" s="40"/>
    </row>
    <row r="8" spans="1:11">
      <c r="A8" s="40"/>
      <c r="D8" s="40"/>
      <c r="E8" s="40"/>
      <c r="F8" s="40"/>
      <c r="G8" s="40"/>
      <c r="J8" s="40"/>
      <c r="K8" s="40"/>
    </row>
    <row r="9" spans="1:11">
      <c r="A9" s="40"/>
      <c r="E9" s="40"/>
      <c r="F9" s="40"/>
      <c r="G9" s="40"/>
      <c r="J9" s="40"/>
      <c r="K9" s="40"/>
    </row>
    <row r="10" spans="1:11">
      <c r="A10" s="40"/>
      <c r="D10" s="40"/>
      <c r="E10" s="40"/>
      <c r="F10" s="40"/>
      <c r="G10" s="40"/>
      <c r="J10" s="40"/>
      <c r="K10" s="40"/>
    </row>
    <row r="11" spans="1:11">
      <c r="A11" s="40"/>
      <c r="D11" s="291">
        <f>+C31</f>
        <v>1426.9662921348315</v>
      </c>
      <c r="E11" s="40"/>
      <c r="G11" s="40"/>
      <c r="K11" s="40"/>
    </row>
    <row r="12" spans="1:11">
      <c r="A12" s="40"/>
      <c r="D12" s="290">
        <f>+D11/$E$35</f>
        <v>56.17977528089888</v>
      </c>
      <c r="E12" s="40"/>
      <c r="F12" s="41"/>
      <c r="G12" s="40"/>
      <c r="J12" s="40"/>
      <c r="K12" s="40"/>
    </row>
    <row r="13" spans="1:11">
      <c r="A13" s="40"/>
      <c r="D13" s="40"/>
      <c r="E13" s="40"/>
      <c r="F13" s="40"/>
      <c r="G13" s="40"/>
      <c r="J13" s="6">
        <f>+C33</f>
        <v>1506.9662921348315</v>
      </c>
      <c r="K13" s="40"/>
    </row>
    <row r="14" spans="1:11">
      <c r="A14" s="40"/>
      <c r="D14" s="40"/>
      <c r="E14" s="40"/>
      <c r="F14" s="291">
        <f>+C34</f>
        <v>2913.3885423830839</v>
      </c>
      <c r="G14" s="40"/>
      <c r="J14" s="42">
        <f>+J13/$E$35</f>
        <v>59.32938158011148</v>
      </c>
      <c r="K14" s="40"/>
    </row>
    <row r="15" spans="1:11">
      <c r="A15" s="40"/>
      <c r="D15" s="40"/>
      <c r="E15" s="40"/>
      <c r="F15" s="290">
        <f>+F14/$E$35</f>
        <v>114.70033631429465</v>
      </c>
      <c r="G15" s="40"/>
      <c r="J15" s="40"/>
      <c r="K15" s="40"/>
    </row>
    <row r="16" spans="1:11">
      <c r="A16" s="40"/>
      <c r="D16" s="40"/>
      <c r="E16" s="40"/>
      <c r="F16" s="40"/>
      <c r="G16" s="40"/>
      <c r="J16" s="40"/>
      <c r="K16" s="40"/>
    </row>
    <row r="17" spans="1:11">
      <c r="A17" s="40"/>
      <c r="D17" s="40"/>
      <c r="E17" s="40"/>
      <c r="F17" s="40"/>
      <c r="G17" s="40"/>
      <c r="J17" s="40"/>
      <c r="K17" s="40"/>
    </row>
    <row r="18" spans="1:11">
      <c r="A18" s="40"/>
      <c r="D18" s="40"/>
      <c r="E18" s="40"/>
      <c r="F18" s="40"/>
      <c r="G18" s="40"/>
      <c r="J18" s="40"/>
      <c r="K18" s="40"/>
    </row>
    <row r="19" spans="1:11">
      <c r="A19" s="40"/>
      <c r="D19" s="40"/>
      <c r="E19" s="40"/>
      <c r="F19" s="40"/>
      <c r="G19" s="40"/>
      <c r="J19" s="40"/>
      <c r="K19" s="40"/>
    </row>
    <row r="20" spans="1:11">
      <c r="A20" s="40"/>
      <c r="D20" s="40"/>
      <c r="E20" s="40"/>
      <c r="F20" s="40"/>
      <c r="G20" s="40"/>
      <c r="J20" s="40"/>
      <c r="K20" s="40"/>
    </row>
    <row r="21" spans="1:11">
      <c r="A21" s="40"/>
      <c r="D21" s="40"/>
      <c r="E21" s="43"/>
      <c r="F21" s="40"/>
      <c r="G21" s="40"/>
      <c r="J21" s="40"/>
      <c r="K21" s="40"/>
    </row>
    <row r="22" spans="1:11">
      <c r="A22" s="40"/>
      <c r="D22" s="40"/>
      <c r="F22" s="40"/>
      <c r="G22" s="40"/>
      <c r="J22" s="40"/>
      <c r="K22" s="40"/>
    </row>
    <row r="23" spans="1:11">
      <c r="A23" s="40"/>
      <c r="D23" s="40"/>
      <c r="E23" s="40"/>
      <c r="F23" s="40"/>
      <c r="G23" s="40"/>
      <c r="J23" s="40"/>
      <c r="K23" s="40"/>
    </row>
    <row r="24" spans="1:1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1:1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291">
        <f>+C35</f>
        <v>40</v>
      </c>
    </row>
    <row r="26" spans="1:11">
      <c r="A26" s="40"/>
      <c r="B26" s="40"/>
      <c r="C26" s="40"/>
      <c r="D26" s="40"/>
      <c r="E26" s="291">
        <f>+C32</f>
        <v>2620</v>
      </c>
      <c r="F26" s="40"/>
      <c r="G26" s="40"/>
      <c r="H26" s="40"/>
      <c r="I26" s="40"/>
      <c r="J26" s="40"/>
      <c r="K26" s="290">
        <f>+K25/$E$35</f>
        <v>1.5748031496062993</v>
      </c>
    </row>
    <row r="27" spans="1:11">
      <c r="A27" s="40"/>
      <c r="B27" s="40"/>
      <c r="C27" s="40"/>
      <c r="D27" s="40"/>
      <c r="E27" s="4">
        <f>+E26/$E$35</f>
        <v>103.14960629921261</v>
      </c>
      <c r="F27" s="40"/>
      <c r="G27" s="40"/>
      <c r="H27" s="40"/>
      <c r="I27" s="40"/>
      <c r="J27" s="40"/>
    </row>
    <row r="28" spans="1:11" ht="17" thickBot="1">
      <c r="A28" s="40"/>
      <c r="B28" s="40"/>
      <c r="C28" s="40"/>
      <c r="D28" s="40"/>
      <c r="E28" s="4"/>
      <c r="F28" s="40"/>
      <c r="G28" s="40"/>
      <c r="H28" s="40"/>
      <c r="I28" s="40"/>
      <c r="J28" s="40"/>
    </row>
    <row r="29" spans="1:11">
      <c r="A29" s="44"/>
      <c r="B29" s="45" t="s">
        <v>5</v>
      </c>
      <c r="C29" s="46" t="s">
        <v>6</v>
      </c>
      <c r="D29" s="47" t="s">
        <v>7</v>
      </c>
      <c r="E29" s="328" t="s">
        <v>45</v>
      </c>
      <c r="F29" s="329"/>
      <c r="G29" s="47" t="s">
        <v>8</v>
      </c>
      <c r="H29" s="330">
        <f ca="1">NOW()</f>
        <v>43377.415750578701</v>
      </c>
      <c r="I29" s="330"/>
      <c r="J29" s="330"/>
      <c r="K29" s="331"/>
    </row>
    <row r="30" spans="1:11">
      <c r="A30" s="48" t="s">
        <v>9</v>
      </c>
      <c r="B30" s="49">
        <f t="shared" ref="B30:B35" si="0">+C30/$E$35</f>
        <v>100</v>
      </c>
      <c r="C30" s="15">
        <v>2540</v>
      </c>
      <c r="D30" s="50" t="s">
        <v>10</v>
      </c>
      <c r="E30" s="332">
        <v>1.78</v>
      </c>
      <c r="F30" s="333"/>
      <c r="G30" s="51" t="s">
        <v>11</v>
      </c>
      <c r="H30" s="347"/>
      <c r="I30" s="347"/>
      <c r="J30" s="347"/>
      <c r="K30" s="348"/>
    </row>
    <row r="31" spans="1:11">
      <c r="A31" s="48" t="s">
        <v>12</v>
      </c>
      <c r="B31" s="49">
        <f t="shared" si="0"/>
        <v>56.17977528089888</v>
      </c>
      <c r="C31" s="17">
        <f>C30/E30</f>
        <v>1426.9662921348315</v>
      </c>
      <c r="D31" s="50" t="s">
        <v>13</v>
      </c>
      <c r="E31" s="354" t="s">
        <v>14</v>
      </c>
      <c r="F31" s="355"/>
      <c r="G31" s="51" t="s">
        <v>15</v>
      </c>
      <c r="H31" s="336"/>
      <c r="I31" s="337"/>
      <c r="J31" s="337"/>
      <c r="K31" s="338"/>
    </row>
    <row r="32" spans="1:11">
      <c r="A32" s="48" t="s">
        <v>16</v>
      </c>
      <c r="B32" s="49">
        <f t="shared" si="0"/>
        <v>103.14960629921261</v>
      </c>
      <c r="C32" s="18">
        <f>+C30+(2*E34)</f>
        <v>2620</v>
      </c>
      <c r="D32" s="51" t="s">
        <v>17</v>
      </c>
      <c r="E32" s="54" t="s">
        <v>14</v>
      </c>
      <c r="F32" s="55" t="s">
        <v>18</v>
      </c>
      <c r="G32" s="40"/>
      <c r="H32" s="40"/>
      <c r="I32" s="40"/>
      <c r="J32" s="40"/>
      <c r="K32" s="56" t="s">
        <v>46</v>
      </c>
    </row>
    <row r="33" spans="1:11">
      <c r="A33" s="48" t="s">
        <v>19</v>
      </c>
      <c r="B33" s="49">
        <f t="shared" si="0"/>
        <v>59.32938158011148</v>
      </c>
      <c r="C33" s="18">
        <f>+C31+(2*E34)</f>
        <v>1506.9662921348315</v>
      </c>
      <c r="D33" s="57" t="s">
        <v>20</v>
      </c>
      <c r="E33" s="58" t="s">
        <v>14</v>
      </c>
      <c r="F33" s="339"/>
      <c r="G33" s="340"/>
      <c r="H33" s="340"/>
      <c r="I33" s="340"/>
      <c r="J33" s="340"/>
      <c r="K33" s="341"/>
    </row>
    <row r="34" spans="1:11">
      <c r="A34" s="48" t="s">
        <v>21</v>
      </c>
      <c r="B34" s="49">
        <f t="shared" si="0"/>
        <v>114.70033631429465</v>
      </c>
      <c r="C34" s="18">
        <f>SQRT((C30^2)+(C31^2))</f>
        <v>2913.3885423830839</v>
      </c>
      <c r="D34" s="57" t="s">
        <v>22</v>
      </c>
      <c r="E34" s="52">
        <v>40</v>
      </c>
      <c r="F34" s="339"/>
      <c r="G34" s="340"/>
      <c r="H34" s="340"/>
      <c r="I34" s="340"/>
      <c r="J34" s="340"/>
      <c r="K34" s="341"/>
    </row>
    <row r="35" spans="1:11" ht="17" thickBot="1">
      <c r="A35" s="59" t="s">
        <v>23</v>
      </c>
      <c r="B35" s="60">
        <f t="shared" si="0"/>
        <v>1.5748031496062993</v>
      </c>
      <c r="C35" s="74">
        <v>40</v>
      </c>
      <c r="D35" s="62" t="s">
        <v>24</v>
      </c>
      <c r="E35" s="63">
        <v>25.4</v>
      </c>
      <c r="F35" s="342"/>
      <c r="G35" s="343"/>
      <c r="H35" s="343"/>
      <c r="I35" s="343"/>
      <c r="J35" s="343"/>
      <c r="K35" s="344"/>
    </row>
    <row r="37" spans="1:11" s="1" customFormat="1" ht="16" customHeight="1">
      <c r="B37" s="112" t="s">
        <v>26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s="1" customFormat="1" ht="7" customHeight="1">
      <c r="B38" s="113"/>
      <c r="C38" s="3"/>
      <c r="D38" s="25"/>
      <c r="E38" s="25"/>
      <c r="F38" s="3"/>
    </row>
    <row r="39" spans="1:11" s="1" customFormat="1" ht="16" customHeight="1">
      <c r="B39" s="174" t="s">
        <v>47</v>
      </c>
      <c r="C39" s="115"/>
      <c r="D39" s="349" t="s">
        <v>27</v>
      </c>
      <c r="E39" s="350"/>
      <c r="F39" s="288" t="s">
        <v>5</v>
      </c>
      <c r="G39" s="288" t="s">
        <v>6</v>
      </c>
    </row>
    <row r="40" spans="1:11" s="1" customFormat="1" ht="16" customHeight="1">
      <c r="B40" s="351" t="s">
        <v>48</v>
      </c>
      <c r="C40" s="351"/>
      <c r="D40" s="169" t="s">
        <v>28</v>
      </c>
      <c r="E40" s="163" t="s">
        <v>29</v>
      </c>
      <c r="F40" s="169">
        <v>106</v>
      </c>
      <c r="G40" s="172">
        <f t="shared" ref="G40:G45" si="1">F40*25.4</f>
        <v>2692.3999999999996</v>
      </c>
    </row>
    <row r="41" spans="1:11" s="1" customFormat="1" ht="16" customHeight="1">
      <c r="B41" s="352"/>
      <c r="C41" s="352"/>
      <c r="D41" s="170" t="s">
        <v>30</v>
      </c>
      <c r="E41" s="167" t="s">
        <v>49</v>
      </c>
      <c r="F41" s="170">
        <v>140</v>
      </c>
      <c r="G41" s="173">
        <f t="shared" si="1"/>
        <v>3556</v>
      </c>
    </row>
    <row r="42" spans="1:11" s="1" customFormat="1" ht="16" customHeight="1">
      <c r="B42" s="353" t="s">
        <v>127</v>
      </c>
      <c r="C42" s="353"/>
      <c r="D42" s="171" t="s">
        <v>28</v>
      </c>
      <c r="E42" s="168" t="s">
        <v>29</v>
      </c>
      <c r="F42" s="171">
        <v>130</v>
      </c>
      <c r="G42" s="171">
        <f t="shared" si="1"/>
        <v>3302</v>
      </c>
    </row>
    <row r="43" spans="1:11" s="1" customFormat="1" ht="16" customHeight="1">
      <c r="B43" s="352"/>
      <c r="C43" s="352"/>
      <c r="D43" s="170" t="s">
        <v>30</v>
      </c>
      <c r="E43" s="167" t="s">
        <v>49</v>
      </c>
      <c r="F43" s="170">
        <v>140</v>
      </c>
      <c r="G43" s="173">
        <f t="shared" si="1"/>
        <v>3556</v>
      </c>
    </row>
    <row r="44" spans="1:11" s="1" customFormat="1" ht="16" customHeight="1">
      <c r="B44" s="353" t="s">
        <v>141</v>
      </c>
      <c r="C44" s="353"/>
      <c r="D44" s="171" t="s">
        <v>28</v>
      </c>
      <c r="E44" s="168" t="s">
        <v>29</v>
      </c>
      <c r="F44" s="171">
        <v>140</v>
      </c>
      <c r="G44" s="171">
        <f t="shared" si="1"/>
        <v>3556</v>
      </c>
    </row>
    <row r="45" spans="1:11" s="1" customFormat="1" ht="16" customHeight="1">
      <c r="B45" s="352"/>
      <c r="C45" s="352"/>
      <c r="D45" s="170" t="s">
        <v>30</v>
      </c>
      <c r="E45" s="167" t="s">
        <v>49</v>
      </c>
      <c r="F45" s="170">
        <v>140</v>
      </c>
      <c r="G45" s="173">
        <f t="shared" si="1"/>
        <v>3556</v>
      </c>
      <c r="H45" s="3" t="s">
        <v>32</v>
      </c>
    </row>
    <row r="46" spans="1:11" s="1" customFormat="1" ht="16" customHeight="1">
      <c r="B46" s="3"/>
      <c r="D46" s="162"/>
      <c r="E46" s="163"/>
      <c r="F46" s="110"/>
      <c r="G46" s="110"/>
      <c r="H46" s="3"/>
    </row>
    <row r="47" spans="1:11">
      <c r="G47" s="3"/>
    </row>
    <row r="48" spans="1:11">
      <c r="B48" s="131" t="s">
        <v>33</v>
      </c>
      <c r="C48" s="132"/>
      <c r="D48" s="132"/>
      <c r="E48" s="132"/>
      <c r="F48" s="132"/>
      <c r="G48" s="132"/>
      <c r="H48" s="132"/>
      <c r="I48" s="132"/>
      <c r="J48" s="132"/>
      <c r="K48" s="132"/>
    </row>
    <row r="49" spans="2:11">
      <c r="B49" s="64" t="s">
        <v>51</v>
      </c>
      <c r="C49" s="64"/>
      <c r="D49" s="64"/>
      <c r="E49" s="64"/>
      <c r="F49" s="64"/>
      <c r="G49" s="64"/>
      <c r="H49" s="64"/>
    </row>
    <row r="50" spans="2:11">
      <c r="B50" s="64" t="s">
        <v>52</v>
      </c>
      <c r="C50" s="64"/>
      <c r="D50" s="64"/>
      <c r="E50" s="64"/>
      <c r="F50" s="64"/>
      <c r="G50" s="64"/>
      <c r="H50" s="64"/>
    </row>
    <row r="51" spans="2:11">
      <c r="B51" s="64"/>
      <c r="C51" s="64"/>
      <c r="D51" s="64"/>
      <c r="E51" s="64"/>
      <c r="F51" s="64"/>
      <c r="G51" s="64"/>
      <c r="H51" s="64"/>
    </row>
    <row r="52" spans="2:11">
      <c r="B52" s="131" t="s">
        <v>38</v>
      </c>
      <c r="C52" s="132"/>
      <c r="D52" s="132"/>
      <c r="E52" s="132"/>
      <c r="F52" s="132"/>
      <c r="G52" s="132"/>
      <c r="H52" s="132"/>
      <c r="I52" s="132"/>
      <c r="J52" s="132"/>
      <c r="K52" s="132"/>
    </row>
    <row r="53" spans="2:11">
      <c r="B53" s="38" t="s">
        <v>148</v>
      </c>
    </row>
    <row r="54" spans="2:11">
      <c r="B54" s="38" t="s">
        <v>40</v>
      </c>
    </row>
    <row r="56" spans="2:11">
      <c r="B56" s="65">
        <f>(+E26/2)+350</f>
        <v>1660</v>
      </c>
      <c r="C56" s="38" t="s">
        <v>41</v>
      </c>
    </row>
    <row r="57" spans="2:11">
      <c r="B57" s="65">
        <v>350</v>
      </c>
      <c r="C57" s="38" t="s">
        <v>42</v>
      </c>
    </row>
    <row r="58" spans="2:11">
      <c r="B58" s="65">
        <v>250</v>
      </c>
      <c r="C58" s="38" t="s">
        <v>23</v>
      </c>
      <c r="J58" s="306"/>
    </row>
    <row r="59" spans="2:11">
      <c r="B59" s="66"/>
      <c r="D59" s="67"/>
    </row>
  </sheetData>
  <mergeCells count="13">
    <mergeCell ref="A1:K1"/>
    <mergeCell ref="A2:K2"/>
    <mergeCell ref="E29:F29"/>
    <mergeCell ref="H29:K29"/>
    <mergeCell ref="E30:F30"/>
    <mergeCell ref="H30:K30"/>
    <mergeCell ref="B44:C45"/>
    <mergeCell ref="E31:F31"/>
    <mergeCell ref="H31:K31"/>
    <mergeCell ref="F33:K35"/>
    <mergeCell ref="D39:E39"/>
    <mergeCell ref="B40:C41"/>
    <mergeCell ref="B42:C43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75" fitToHeight="2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60"/>
  <sheetViews>
    <sheetView showGridLines="0" topLeftCell="A40" workbookViewId="0">
      <selection activeCell="C32" sqref="C32"/>
    </sheetView>
  </sheetViews>
  <sheetFormatPr baseColWidth="10" defaultColWidth="10.83203125" defaultRowHeight="16"/>
  <cols>
    <col min="1" max="1" width="10" style="38" customWidth="1"/>
    <col min="2" max="16384" width="10.83203125" style="38"/>
  </cols>
  <sheetData>
    <row r="1" spans="1:11" ht="38" customHeight="1">
      <c r="A1" s="345" t="s">
        <v>54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</row>
    <row r="2" spans="1:11" s="39" customFormat="1" ht="38" customHeight="1">
      <c r="A2" s="346" t="str">
        <f>+ROUND(B30,1)&amp;""""&amp;" "&amp;ROUND(E30,2)&amp;" Aspect Ratio"</f>
        <v>228.3" 1.78 Aspect Ratio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</row>
    <row r="3" spans="1:1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>
      <c r="A4" s="40"/>
      <c r="D4" s="40"/>
      <c r="E4" s="40"/>
      <c r="F4" s="40"/>
      <c r="G4" s="40"/>
      <c r="J4" s="40"/>
      <c r="K4" s="40"/>
    </row>
    <row r="5" spans="1:11">
      <c r="A5" s="40"/>
      <c r="D5" s="40"/>
      <c r="E5" s="186">
        <f>+C30</f>
        <v>5799</v>
      </c>
      <c r="F5" s="40"/>
      <c r="G5" s="40"/>
      <c r="J5" s="40"/>
      <c r="K5" s="40"/>
    </row>
    <row r="6" spans="1:11">
      <c r="A6" s="40"/>
      <c r="D6" s="40"/>
      <c r="E6" s="4">
        <f>+E5/$E$35</f>
        <v>228.30708661417324</v>
      </c>
      <c r="G6" s="40"/>
      <c r="J6" s="40"/>
      <c r="K6" s="40"/>
    </row>
    <row r="7" spans="1:11">
      <c r="A7" s="40"/>
      <c r="D7" s="40"/>
      <c r="E7" s="40"/>
      <c r="F7" s="40"/>
      <c r="G7" s="40"/>
      <c r="J7" s="40"/>
      <c r="K7" s="40"/>
    </row>
    <row r="8" spans="1:11">
      <c r="A8" s="40"/>
      <c r="D8" s="40"/>
      <c r="E8" s="40"/>
      <c r="F8" s="40"/>
      <c r="G8" s="40"/>
      <c r="J8" s="40"/>
      <c r="K8" s="40"/>
    </row>
    <row r="9" spans="1:11">
      <c r="A9" s="40"/>
      <c r="E9" s="40"/>
      <c r="F9" s="40"/>
      <c r="G9" s="40"/>
      <c r="J9" s="40"/>
      <c r="K9" s="40"/>
    </row>
    <row r="10" spans="1:11">
      <c r="A10" s="40"/>
      <c r="D10" s="40"/>
      <c r="E10" s="40"/>
      <c r="F10" s="40"/>
      <c r="G10" s="40"/>
      <c r="J10" s="40"/>
      <c r="K10" s="40"/>
    </row>
    <row r="11" spans="1:11">
      <c r="A11" s="40"/>
      <c r="D11" s="186">
        <f>+C31</f>
        <v>3257.8651685393256</v>
      </c>
      <c r="E11" s="40"/>
      <c r="G11" s="40"/>
      <c r="K11" s="40"/>
    </row>
    <row r="12" spans="1:11">
      <c r="A12" s="40"/>
      <c r="D12" s="185">
        <f>+D11/$E$35</f>
        <v>128.26240821020968</v>
      </c>
      <c r="E12" s="40"/>
      <c r="F12" s="41"/>
      <c r="G12" s="40"/>
      <c r="J12" s="40"/>
      <c r="K12" s="40"/>
    </row>
    <row r="13" spans="1:11">
      <c r="A13" s="40"/>
      <c r="D13" s="40"/>
      <c r="E13" s="40"/>
      <c r="F13" s="40"/>
      <c r="G13" s="40"/>
      <c r="J13" s="6">
        <f>+C33</f>
        <v>3445.8651685393256</v>
      </c>
      <c r="K13" s="40"/>
    </row>
    <row r="14" spans="1:11">
      <c r="A14" s="40"/>
      <c r="D14" s="40"/>
      <c r="E14" s="40"/>
      <c r="F14" s="186">
        <f>+C34</f>
        <v>6651.4725028659459</v>
      </c>
      <c r="G14" s="40"/>
      <c r="J14" s="42">
        <f>+J13/$E$35</f>
        <v>135.66398301335929</v>
      </c>
      <c r="K14" s="40"/>
    </row>
    <row r="15" spans="1:11">
      <c r="A15" s="40"/>
      <c r="D15" s="40"/>
      <c r="E15" s="40"/>
      <c r="F15" s="185">
        <f>+F14/$E$35</f>
        <v>261.86899617582463</v>
      </c>
      <c r="G15" s="40"/>
      <c r="J15" s="40"/>
      <c r="K15" s="40"/>
    </row>
    <row r="16" spans="1:11">
      <c r="A16" s="40"/>
      <c r="D16" s="40"/>
      <c r="E16" s="40"/>
      <c r="F16" s="40"/>
      <c r="G16" s="40"/>
      <c r="J16" s="40"/>
      <c r="K16" s="40"/>
    </row>
    <row r="17" spans="1:11">
      <c r="A17" s="40"/>
      <c r="D17" s="40"/>
      <c r="E17" s="40"/>
      <c r="F17" s="40"/>
      <c r="G17" s="40"/>
      <c r="J17" s="40"/>
      <c r="K17" s="40"/>
    </row>
    <row r="18" spans="1:11">
      <c r="A18" s="40"/>
      <c r="D18" s="40"/>
      <c r="E18" s="40"/>
      <c r="F18" s="40"/>
      <c r="G18" s="40"/>
      <c r="J18" s="40"/>
      <c r="K18" s="40"/>
    </row>
    <row r="19" spans="1:11">
      <c r="A19" s="40"/>
      <c r="D19" s="40"/>
      <c r="E19" s="40"/>
      <c r="F19" s="40"/>
      <c r="G19" s="40"/>
      <c r="J19" s="40"/>
      <c r="K19" s="40"/>
    </row>
    <row r="20" spans="1:11">
      <c r="A20" s="40"/>
      <c r="D20" s="40"/>
      <c r="E20" s="40"/>
      <c r="F20" s="40"/>
      <c r="G20" s="40"/>
      <c r="J20" s="40"/>
      <c r="K20" s="40"/>
    </row>
    <row r="21" spans="1:11">
      <c r="A21" s="40"/>
      <c r="D21" s="40"/>
      <c r="E21" s="43"/>
      <c r="F21" s="40"/>
      <c r="G21" s="40"/>
      <c r="J21" s="40"/>
      <c r="K21" s="40"/>
    </row>
    <row r="22" spans="1:11">
      <c r="A22" s="40"/>
      <c r="D22" s="40"/>
      <c r="F22" s="40"/>
      <c r="G22" s="40"/>
      <c r="J22" s="40"/>
      <c r="K22" s="40"/>
    </row>
    <row r="23" spans="1:11">
      <c r="A23" s="40"/>
      <c r="D23" s="40"/>
      <c r="E23" s="40"/>
      <c r="F23" s="40"/>
      <c r="G23" s="40"/>
      <c r="J23" s="40"/>
      <c r="K23" s="40"/>
    </row>
    <row r="24" spans="1:1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1:1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186">
        <f>+C35</f>
        <v>60</v>
      </c>
    </row>
    <row r="26" spans="1:11">
      <c r="A26" s="40"/>
      <c r="B26" s="40"/>
      <c r="C26" s="40"/>
      <c r="D26" s="40"/>
      <c r="E26" s="186">
        <f>+C32</f>
        <v>5987</v>
      </c>
      <c r="F26" s="40"/>
      <c r="G26" s="40"/>
      <c r="H26" s="40"/>
      <c r="I26" s="40"/>
      <c r="J26" s="40"/>
      <c r="K26" s="185">
        <f>+K25/$E$35</f>
        <v>2.3622047244094491</v>
      </c>
    </row>
    <row r="27" spans="1:11">
      <c r="A27" s="40"/>
      <c r="B27" s="40"/>
      <c r="C27" s="40"/>
      <c r="D27" s="40"/>
      <c r="E27" s="4">
        <f>+E26/$E$35</f>
        <v>235.70866141732284</v>
      </c>
      <c r="F27" s="40"/>
      <c r="G27" s="40"/>
      <c r="H27" s="40"/>
      <c r="I27" s="40"/>
      <c r="J27" s="40"/>
    </row>
    <row r="28" spans="1:11" ht="17" thickBot="1">
      <c r="A28" s="40"/>
      <c r="B28" s="40"/>
      <c r="C28" s="40"/>
      <c r="D28" s="40"/>
      <c r="E28" s="4"/>
      <c r="F28" s="40"/>
      <c r="G28" s="40"/>
      <c r="H28" s="40"/>
      <c r="I28" s="40"/>
      <c r="J28" s="40"/>
    </row>
    <row r="29" spans="1:11">
      <c r="A29" s="44"/>
      <c r="B29" s="45" t="s">
        <v>5</v>
      </c>
      <c r="C29" s="46" t="s">
        <v>6</v>
      </c>
      <c r="D29" s="47" t="s">
        <v>7</v>
      </c>
      <c r="E29" s="328" t="str">
        <f>IF(C31&lt;=2860,"Enlightor NEO","Enlightor NEO-W")</f>
        <v>Enlightor NEO-W</v>
      </c>
      <c r="F29" s="329"/>
      <c r="G29" s="47" t="s">
        <v>8</v>
      </c>
      <c r="H29" s="330">
        <f ca="1">NOW()</f>
        <v>43377.415750578701</v>
      </c>
      <c r="I29" s="330"/>
      <c r="J29" s="330"/>
      <c r="K29" s="331"/>
    </row>
    <row r="30" spans="1:11">
      <c r="A30" s="138" t="s">
        <v>9</v>
      </c>
      <c r="B30" s="49">
        <f t="shared" ref="B30:B35" si="0">+C30/$E$35</f>
        <v>228.30708661417324</v>
      </c>
      <c r="C30" s="15">
        <v>5799</v>
      </c>
      <c r="D30" s="139" t="s">
        <v>10</v>
      </c>
      <c r="E30" s="332">
        <v>1.78</v>
      </c>
      <c r="F30" s="333"/>
      <c r="G30" s="51" t="s">
        <v>11</v>
      </c>
      <c r="H30" s="347"/>
      <c r="I30" s="347"/>
      <c r="J30" s="347"/>
      <c r="K30" s="348"/>
    </row>
    <row r="31" spans="1:11">
      <c r="A31" s="48" t="s">
        <v>12</v>
      </c>
      <c r="B31" s="49">
        <f t="shared" si="0"/>
        <v>128.26240821020968</v>
      </c>
      <c r="C31" s="17">
        <f>C30/E30</f>
        <v>3257.8651685393256</v>
      </c>
      <c r="D31" s="68" t="s">
        <v>13</v>
      </c>
      <c r="E31" s="354" t="s">
        <v>14</v>
      </c>
      <c r="F31" s="355"/>
      <c r="G31" s="51" t="s">
        <v>15</v>
      </c>
      <c r="H31" s="336"/>
      <c r="I31" s="337"/>
      <c r="J31" s="337"/>
      <c r="K31" s="338"/>
    </row>
    <row r="32" spans="1:11">
      <c r="A32" s="48" t="s">
        <v>16</v>
      </c>
      <c r="B32" s="49">
        <f t="shared" si="0"/>
        <v>235.70866141732284</v>
      </c>
      <c r="C32" s="18">
        <f>+C30+(2*E34)</f>
        <v>5987</v>
      </c>
      <c r="D32" s="68" t="s">
        <v>17</v>
      </c>
      <c r="E32" s="54" t="s">
        <v>14</v>
      </c>
      <c r="F32" s="55" t="s">
        <v>18</v>
      </c>
      <c r="G32" s="40"/>
      <c r="H32" s="40"/>
      <c r="I32" s="40"/>
      <c r="J32" s="40"/>
      <c r="K32" s="56" t="s">
        <v>46</v>
      </c>
    </row>
    <row r="33" spans="1:11">
      <c r="A33" s="48" t="s">
        <v>19</v>
      </c>
      <c r="B33" s="49">
        <f t="shared" si="0"/>
        <v>135.66398301335929</v>
      </c>
      <c r="C33" s="18">
        <f>+C31+(2*E34)</f>
        <v>3445.8651685393256</v>
      </c>
      <c r="D33" s="69" t="s">
        <v>20</v>
      </c>
      <c r="E33" s="58" t="s">
        <v>14</v>
      </c>
      <c r="F33" s="339"/>
      <c r="G33" s="340"/>
      <c r="H33" s="340"/>
      <c r="I33" s="340"/>
      <c r="J33" s="340"/>
      <c r="K33" s="341"/>
    </row>
    <row r="34" spans="1:11">
      <c r="A34" s="48" t="s">
        <v>21</v>
      </c>
      <c r="B34" s="49">
        <f t="shared" si="0"/>
        <v>261.86899617582463</v>
      </c>
      <c r="C34" s="18">
        <f>SQRT((C30^2)+(C31^2))</f>
        <v>6651.4725028659459</v>
      </c>
      <c r="D34" s="69" t="s">
        <v>22</v>
      </c>
      <c r="E34" s="52">
        <v>94</v>
      </c>
      <c r="F34" s="339"/>
      <c r="G34" s="340"/>
      <c r="H34" s="340"/>
      <c r="I34" s="340"/>
      <c r="J34" s="340"/>
      <c r="K34" s="341"/>
    </row>
    <row r="35" spans="1:11" ht="17" thickBot="1">
      <c r="A35" s="59" t="s">
        <v>23</v>
      </c>
      <c r="B35" s="60">
        <f t="shared" si="0"/>
        <v>2.3622047244094491</v>
      </c>
      <c r="C35" s="74">
        <v>60</v>
      </c>
      <c r="D35" s="70" t="s">
        <v>24</v>
      </c>
      <c r="E35" s="63">
        <v>25.4</v>
      </c>
      <c r="F35" s="342"/>
      <c r="G35" s="343"/>
      <c r="H35" s="343"/>
      <c r="I35" s="343"/>
      <c r="J35" s="343"/>
      <c r="K35" s="344"/>
    </row>
    <row r="37" spans="1:11" s="1" customFormat="1" ht="16" customHeight="1">
      <c r="B37" s="112" t="s">
        <v>159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s="1" customFormat="1" ht="7" customHeight="1">
      <c r="B38" s="113"/>
      <c r="C38" s="3"/>
      <c r="D38" s="25"/>
      <c r="E38" s="25"/>
      <c r="F38" s="3"/>
    </row>
    <row r="39" spans="1:11" s="1" customFormat="1" ht="16" customHeight="1">
      <c r="B39" s="174" t="s">
        <v>47</v>
      </c>
      <c r="C39" s="115"/>
      <c r="D39" s="349" t="s">
        <v>27</v>
      </c>
      <c r="E39" s="350"/>
      <c r="F39" s="304" t="s">
        <v>5</v>
      </c>
      <c r="G39" s="304" t="s">
        <v>6</v>
      </c>
    </row>
    <row r="40" spans="1:11" s="1" customFormat="1" ht="16" customHeight="1">
      <c r="B40" s="353" t="s">
        <v>141</v>
      </c>
      <c r="C40" s="353"/>
      <c r="D40" s="169" t="s">
        <v>28</v>
      </c>
      <c r="E40" s="163" t="s">
        <v>29</v>
      </c>
      <c r="F40" s="169">
        <v>200</v>
      </c>
      <c r="G40" s="172">
        <f t="shared" ref="G40:G43" si="1">F40*25.4</f>
        <v>5080</v>
      </c>
    </row>
    <row r="41" spans="1:11" s="1" customFormat="1" ht="16" customHeight="1">
      <c r="B41" s="352"/>
      <c r="C41" s="352"/>
      <c r="D41" s="170" t="s">
        <v>30</v>
      </c>
      <c r="E41" s="167" t="s">
        <v>49</v>
      </c>
      <c r="F41" s="170">
        <v>280</v>
      </c>
      <c r="G41" s="173">
        <f t="shared" si="1"/>
        <v>7112</v>
      </c>
    </row>
    <row r="42" spans="1:11" s="1" customFormat="1" ht="16" customHeight="1">
      <c r="B42" s="353" t="s">
        <v>158</v>
      </c>
      <c r="C42" s="353"/>
      <c r="D42" s="171" t="s">
        <v>28</v>
      </c>
      <c r="E42" s="168" t="s">
        <v>29</v>
      </c>
      <c r="F42" s="171">
        <v>315</v>
      </c>
      <c r="G42" s="171">
        <f t="shared" si="1"/>
        <v>8001</v>
      </c>
    </row>
    <row r="43" spans="1:11" s="1" customFormat="1" ht="16" customHeight="1">
      <c r="B43" s="352"/>
      <c r="C43" s="352"/>
      <c r="D43" s="170" t="s">
        <v>30</v>
      </c>
      <c r="E43" s="167" t="s">
        <v>49</v>
      </c>
      <c r="F43" s="170">
        <v>425</v>
      </c>
      <c r="G43" s="173">
        <f t="shared" si="1"/>
        <v>10795</v>
      </c>
    </row>
    <row r="44" spans="1:11" s="1" customFormat="1" ht="16" customHeight="1">
      <c r="B44" s="3"/>
      <c r="C44" s="111"/>
      <c r="D44" s="110"/>
      <c r="E44" s="110"/>
    </row>
    <row r="46" spans="1:11">
      <c r="B46" s="131" t="s">
        <v>33</v>
      </c>
      <c r="C46" s="132"/>
      <c r="D46" s="132"/>
      <c r="E46" s="132"/>
      <c r="F46" s="132"/>
      <c r="G46" s="132"/>
      <c r="H46" s="132"/>
      <c r="I46" s="132"/>
      <c r="J46" s="132"/>
      <c r="K46" s="132"/>
    </row>
    <row r="47" spans="1:11">
      <c r="B47" s="64" t="s">
        <v>160</v>
      </c>
      <c r="C47" s="64"/>
      <c r="D47" s="64"/>
      <c r="E47" s="64"/>
      <c r="F47" s="64"/>
      <c r="G47" s="64"/>
      <c r="H47" s="64"/>
    </row>
    <row r="48" spans="1:11">
      <c r="B48" s="64" t="s">
        <v>52</v>
      </c>
      <c r="C48" s="64"/>
      <c r="D48" s="64"/>
      <c r="E48" s="64"/>
      <c r="F48" s="64"/>
      <c r="G48" s="64"/>
      <c r="H48" s="64"/>
    </row>
    <row r="49" spans="2:11">
      <c r="B49" s="64" t="s">
        <v>56</v>
      </c>
      <c r="C49" s="64"/>
      <c r="D49" s="64"/>
      <c r="E49" s="64"/>
      <c r="F49" s="64"/>
      <c r="G49" s="64"/>
      <c r="H49" s="64"/>
    </row>
    <row r="50" spans="2:11">
      <c r="B50" s="64" t="s">
        <v>57</v>
      </c>
      <c r="C50" s="64"/>
      <c r="D50" s="64"/>
      <c r="E50" s="64"/>
      <c r="F50" s="64"/>
      <c r="G50" s="64"/>
      <c r="H50" s="64"/>
    </row>
    <row r="51" spans="2:11">
      <c r="B51" s="64"/>
      <c r="C51" s="64"/>
      <c r="D51" s="64"/>
      <c r="E51" s="64"/>
      <c r="F51" s="64"/>
      <c r="G51" s="64"/>
      <c r="H51" s="64"/>
    </row>
    <row r="52" spans="2:11">
      <c r="B52" s="131" t="s">
        <v>38</v>
      </c>
      <c r="C52" s="132"/>
      <c r="D52" s="132"/>
      <c r="E52" s="132"/>
      <c r="F52" s="132"/>
      <c r="G52" s="132"/>
      <c r="H52" s="132"/>
      <c r="I52" s="132"/>
      <c r="J52" s="132"/>
      <c r="K52" s="132"/>
    </row>
    <row r="53" spans="2:11">
      <c r="B53" s="38" t="s">
        <v>53</v>
      </c>
    </row>
    <row r="54" spans="2:11">
      <c r="B54" s="38" t="s">
        <v>40</v>
      </c>
    </row>
    <row r="55" spans="2:11">
      <c r="B55" s="38" t="s">
        <v>161</v>
      </c>
    </row>
    <row r="57" spans="2:11">
      <c r="B57" s="65">
        <f>(+E26/2)+350</f>
        <v>3343.5</v>
      </c>
      <c r="C57" s="38" t="s">
        <v>41</v>
      </c>
    </row>
    <row r="58" spans="2:11">
      <c r="B58" s="65">
        <v>350</v>
      </c>
      <c r="C58" s="38" t="s">
        <v>42</v>
      </c>
    </row>
    <row r="59" spans="2:11">
      <c r="B59" s="65">
        <v>250</v>
      </c>
      <c r="C59" s="38" t="s">
        <v>23</v>
      </c>
    </row>
    <row r="60" spans="2:11">
      <c r="B60" s="66"/>
      <c r="D60" s="67"/>
    </row>
  </sheetData>
  <mergeCells count="12">
    <mergeCell ref="A1:K1"/>
    <mergeCell ref="A2:K2"/>
    <mergeCell ref="E29:F29"/>
    <mergeCell ref="H29:K29"/>
    <mergeCell ref="E30:F30"/>
    <mergeCell ref="H30:K30"/>
    <mergeCell ref="D39:E39"/>
    <mergeCell ref="B40:C41"/>
    <mergeCell ref="B42:C43"/>
    <mergeCell ref="F33:K35"/>
    <mergeCell ref="E31:F31"/>
    <mergeCell ref="H31:K31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75" fitToHeight="2" orientation="portrait" horizontalDpi="4294967292" verticalDpi="4294967292" r:id="rId1"/>
  <headerFooter>
    <oddHeader>&amp;C&amp;"Calibri,Bold"&amp;14&amp;K000000Screen Excellence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59"/>
  <sheetViews>
    <sheetView showGridLines="0" workbookViewId="0">
      <selection activeCell="I41" sqref="I41"/>
    </sheetView>
  </sheetViews>
  <sheetFormatPr baseColWidth="10" defaultColWidth="10.83203125" defaultRowHeight="16"/>
  <cols>
    <col min="1" max="1" width="10" style="38" customWidth="1"/>
    <col min="2" max="16384" width="10.83203125" style="38"/>
  </cols>
  <sheetData>
    <row r="1" spans="1:11" ht="40" customHeight="1">
      <c r="A1" s="345" t="s">
        <v>138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</row>
    <row r="2" spans="1:11" s="39" customFormat="1" ht="40" customHeight="1">
      <c r="A2" s="346" t="str">
        <f>+ROUND(B30,0)&amp;""""&amp;" "&amp;ROUND(E30,2)&amp;" Aspect Ratio"</f>
        <v>100" 2.35 Aspect Ratio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</row>
    <row r="3" spans="1:1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</row>
    <row r="4" spans="1:11">
      <c r="A4" s="40"/>
      <c r="D4" s="40"/>
      <c r="E4" s="40"/>
      <c r="F4" s="40"/>
      <c r="G4" s="40"/>
      <c r="J4" s="40"/>
      <c r="K4" s="40"/>
    </row>
    <row r="5" spans="1:11">
      <c r="A5" s="40"/>
      <c r="D5" s="40"/>
      <c r="E5" s="291">
        <f>+C30</f>
        <v>2540</v>
      </c>
      <c r="F5" s="40"/>
      <c r="G5" s="40"/>
      <c r="J5" s="40"/>
      <c r="K5" s="40"/>
    </row>
    <row r="6" spans="1:11">
      <c r="A6" s="40"/>
      <c r="D6" s="40"/>
      <c r="E6" s="4">
        <f>+E5/$E$35</f>
        <v>100</v>
      </c>
      <c r="G6" s="40"/>
      <c r="J6" s="40"/>
      <c r="K6" s="40"/>
    </row>
    <row r="7" spans="1:11">
      <c r="A7" s="40"/>
      <c r="D7" s="40"/>
      <c r="E7" s="40"/>
      <c r="F7" s="40"/>
      <c r="G7" s="40"/>
      <c r="J7" s="40"/>
      <c r="K7" s="40"/>
    </row>
    <row r="8" spans="1:11">
      <c r="A8" s="40"/>
      <c r="D8" s="40"/>
      <c r="E8" s="40"/>
      <c r="F8" s="40"/>
      <c r="G8" s="40"/>
      <c r="J8" s="40"/>
      <c r="K8" s="40"/>
    </row>
    <row r="9" spans="1:11">
      <c r="A9" s="40"/>
      <c r="E9" s="40"/>
      <c r="F9" s="40"/>
      <c r="G9" s="40"/>
      <c r="J9" s="40"/>
      <c r="K9" s="40"/>
    </row>
    <row r="10" spans="1:11">
      <c r="A10" s="40"/>
      <c r="D10" s="40"/>
      <c r="E10" s="40"/>
      <c r="F10" s="40"/>
      <c r="G10" s="40"/>
      <c r="J10" s="40"/>
      <c r="K10" s="40"/>
    </row>
    <row r="11" spans="1:11">
      <c r="A11" s="40"/>
      <c r="D11" s="291">
        <f>+C31</f>
        <v>1080.8510638297871</v>
      </c>
      <c r="E11" s="40"/>
      <c r="G11" s="40"/>
      <c r="K11" s="40"/>
    </row>
    <row r="12" spans="1:11">
      <c r="A12" s="40"/>
      <c r="D12" s="290">
        <f>+D11/$E$35</f>
        <v>42.553191489361701</v>
      </c>
      <c r="E12" s="40"/>
      <c r="F12" s="41"/>
      <c r="G12" s="40"/>
      <c r="J12" s="40"/>
      <c r="K12" s="40"/>
    </row>
    <row r="13" spans="1:11">
      <c r="A13" s="40"/>
      <c r="D13" s="40"/>
      <c r="E13" s="40"/>
      <c r="F13" s="40"/>
      <c r="G13" s="40"/>
      <c r="J13" s="6">
        <f>+C33</f>
        <v>1268.8510638297871</v>
      </c>
      <c r="K13" s="40"/>
    </row>
    <row r="14" spans="1:11">
      <c r="A14" s="40"/>
      <c r="D14" s="40"/>
      <c r="E14" s="40"/>
      <c r="F14" s="291">
        <f>+C34</f>
        <v>2760.4055901591678</v>
      </c>
      <c r="G14" s="40"/>
      <c r="J14" s="42">
        <f>+J13/$E$35</f>
        <v>49.954766292511309</v>
      </c>
      <c r="K14" s="40"/>
    </row>
    <row r="15" spans="1:11">
      <c r="A15" s="40"/>
      <c r="D15" s="40"/>
      <c r="E15" s="40"/>
      <c r="F15" s="290">
        <f>+F14/$E$35</f>
        <v>108.67738543933731</v>
      </c>
      <c r="G15" s="40"/>
      <c r="J15" s="40"/>
      <c r="K15" s="40"/>
    </row>
    <row r="16" spans="1:11">
      <c r="A16" s="40"/>
      <c r="D16" s="40"/>
      <c r="E16" s="40"/>
      <c r="F16" s="40"/>
      <c r="G16" s="40"/>
      <c r="J16" s="40"/>
      <c r="K16" s="40"/>
    </row>
    <row r="17" spans="1:11">
      <c r="A17" s="40"/>
      <c r="D17" s="40"/>
      <c r="E17" s="40"/>
      <c r="F17" s="40"/>
      <c r="G17" s="40"/>
      <c r="J17" s="40"/>
      <c r="K17" s="40"/>
    </row>
    <row r="18" spans="1:11">
      <c r="A18" s="40"/>
      <c r="D18" s="40"/>
      <c r="E18" s="40"/>
      <c r="F18" s="40"/>
      <c r="G18" s="40"/>
      <c r="J18" s="40"/>
      <c r="K18" s="40"/>
    </row>
    <row r="19" spans="1:11">
      <c r="A19" s="40"/>
      <c r="D19" s="40"/>
      <c r="E19" s="40"/>
      <c r="F19" s="40"/>
      <c r="G19" s="40"/>
      <c r="J19" s="40"/>
      <c r="K19" s="40"/>
    </row>
    <row r="20" spans="1:11">
      <c r="A20" s="40"/>
      <c r="D20" s="40"/>
      <c r="E20" s="40"/>
      <c r="F20" s="40"/>
      <c r="G20" s="40"/>
      <c r="J20" s="40"/>
      <c r="K20" s="40"/>
    </row>
    <row r="21" spans="1:11">
      <c r="A21" s="40"/>
      <c r="D21" s="40"/>
      <c r="E21" s="43"/>
      <c r="F21" s="40"/>
      <c r="G21" s="40"/>
      <c r="J21" s="40"/>
      <c r="K21" s="40"/>
    </row>
    <row r="22" spans="1:11">
      <c r="A22" s="40"/>
      <c r="D22" s="40"/>
      <c r="F22" s="40"/>
      <c r="G22" s="40"/>
      <c r="J22" s="40"/>
      <c r="K22" s="40"/>
    </row>
    <row r="23" spans="1:11">
      <c r="A23" s="40"/>
      <c r="D23" s="40"/>
      <c r="E23" s="40"/>
      <c r="F23" s="40"/>
      <c r="G23" s="40"/>
      <c r="J23" s="40"/>
      <c r="K23" s="40"/>
    </row>
    <row r="24" spans="1:11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1:1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291">
        <f>+C35</f>
        <v>60</v>
      </c>
    </row>
    <row r="26" spans="1:11">
      <c r="A26" s="40"/>
      <c r="B26" s="40"/>
      <c r="C26" s="40"/>
      <c r="D26" s="40"/>
      <c r="E26" s="291">
        <f>+C32</f>
        <v>2728</v>
      </c>
      <c r="F26" s="40"/>
      <c r="G26" s="40"/>
      <c r="H26" s="40"/>
      <c r="I26" s="40"/>
      <c r="J26" s="40"/>
      <c r="K26" s="290">
        <f>+K25/$E$35</f>
        <v>2.3622047244094491</v>
      </c>
    </row>
    <row r="27" spans="1:11">
      <c r="A27" s="40"/>
      <c r="B27" s="40"/>
      <c r="C27" s="40"/>
      <c r="D27" s="40"/>
      <c r="E27" s="4">
        <f>+E26/$E$35</f>
        <v>107.40157480314961</v>
      </c>
      <c r="F27" s="40"/>
      <c r="G27" s="40"/>
      <c r="H27" s="40"/>
      <c r="I27" s="40"/>
      <c r="J27" s="40"/>
    </row>
    <row r="28" spans="1:11" ht="17" thickBot="1">
      <c r="A28" s="40"/>
      <c r="B28" s="40"/>
      <c r="C28" s="40"/>
      <c r="D28" s="40"/>
      <c r="E28" s="4"/>
      <c r="F28" s="40"/>
      <c r="G28" s="40"/>
      <c r="H28" s="40"/>
      <c r="I28" s="40"/>
      <c r="J28" s="40"/>
    </row>
    <row r="29" spans="1:11">
      <c r="A29" s="44"/>
      <c r="B29" s="45" t="s">
        <v>5</v>
      </c>
      <c r="C29" s="46" t="s">
        <v>6</v>
      </c>
      <c r="D29" s="47" t="s">
        <v>7</v>
      </c>
      <c r="E29" s="328" t="s">
        <v>45</v>
      </c>
      <c r="F29" s="329"/>
      <c r="G29" s="47" t="s">
        <v>8</v>
      </c>
      <c r="H29" s="330">
        <f ca="1">NOW()</f>
        <v>43377.415750578701</v>
      </c>
      <c r="I29" s="330"/>
      <c r="J29" s="330"/>
      <c r="K29" s="331"/>
    </row>
    <row r="30" spans="1:11">
      <c r="A30" s="138" t="s">
        <v>9</v>
      </c>
      <c r="B30" s="49">
        <f t="shared" ref="B30:B35" si="0">+C30/$E$35</f>
        <v>100</v>
      </c>
      <c r="C30" s="15">
        <v>2540</v>
      </c>
      <c r="D30" s="139" t="s">
        <v>10</v>
      </c>
      <c r="E30" s="332">
        <v>2.35</v>
      </c>
      <c r="F30" s="333"/>
      <c r="G30" s="51" t="s">
        <v>11</v>
      </c>
      <c r="H30" s="347"/>
      <c r="I30" s="347"/>
      <c r="J30" s="347"/>
      <c r="K30" s="348"/>
    </row>
    <row r="31" spans="1:11">
      <c r="A31" s="48" t="s">
        <v>12</v>
      </c>
      <c r="B31" s="49">
        <f t="shared" si="0"/>
        <v>42.553191489361701</v>
      </c>
      <c r="C31" s="17">
        <f>C30/E30</f>
        <v>1080.8510638297871</v>
      </c>
      <c r="D31" s="68" t="s">
        <v>13</v>
      </c>
      <c r="E31" s="354" t="s">
        <v>14</v>
      </c>
      <c r="F31" s="355"/>
      <c r="G31" s="51" t="s">
        <v>15</v>
      </c>
      <c r="H31" s="336"/>
      <c r="I31" s="337"/>
      <c r="J31" s="337"/>
      <c r="K31" s="338"/>
    </row>
    <row r="32" spans="1:11">
      <c r="A32" s="48" t="s">
        <v>16</v>
      </c>
      <c r="B32" s="49">
        <f t="shared" si="0"/>
        <v>107.40157480314961</v>
      </c>
      <c r="C32" s="18">
        <f>+C30+(2*E34)</f>
        <v>2728</v>
      </c>
      <c r="D32" s="68" t="s">
        <v>17</v>
      </c>
      <c r="E32" s="54" t="s">
        <v>14</v>
      </c>
      <c r="F32" s="55" t="s">
        <v>18</v>
      </c>
      <c r="G32" s="40"/>
      <c r="H32" s="40"/>
      <c r="I32" s="40"/>
      <c r="J32" s="40"/>
      <c r="K32" s="56" t="s">
        <v>46</v>
      </c>
    </row>
    <row r="33" spans="1:11">
      <c r="A33" s="48" t="s">
        <v>19</v>
      </c>
      <c r="B33" s="49">
        <f t="shared" si="0"/>
        <v>49.954766292511309</v>
      </c>
      <c r="C33" s="18">
        <f>+C31+(2*E34)</f>
        <v>1268.8510638297871</v>
      </c>
      <c r="D33" s="69" t="s">
        <v>20</v>
      </c>
      <c r="E33" s="58" t="s">
        <v>14</v>
      </c>
      <c r="F33" s="339"/>
      <c r="G33" s="340"/>
      <c r="H33" s="340"/>
      <c r="I33" s="340"/>
      <c r="J33" s="340"/>
      <c r="K33" s="341"/>
    </row>
    <row r="34" spans="1:11">
      <c r="A34" s="48" t="s">
        <v>21</v>
      </c>
      <c r="B34" s="49">
        <f t="shared" si="0"/>
        <v>108.67738543933731</v>
      </c>
      <c r="C34" s="18">
        <f>SQRT((C30^2)+(C31^2))</f>
        <v>2760.4055901591678</v>
      </c>
      <c r="D34" s="69" t="s">
        <v>22</v>
      </c>
      <c r="E34" s="52">
        <v>94</v>
      </c>
      <c r="F34" s="339"/>
      <c r="G34" s="340"/>
      <c r="H34" s="340"/>
      <c r="I34" s="340"/>
      <c r="J34" s="340"/>
      <c r="K34" s="341"/>
    </row>
    <row r="35" spans="1:11" ht="17" thickBot="1">
      <c r="A35" s="59" t="s">
        <v>23</v>
      </c>
      <c r="B35" s="60">
        <f t="shared" si="0"/>
        <v>2.3622047244094491</v>
      </c>
      <c r="C35" s="74">
        <v>60</v>
      </c>
      <c r="D35" s="70" t="s">
        <v>24</v>
      </c>
      <c r="E35" s="63">
        <v>25.4</v>
      </c>
      <c r="F35" s="342"/>
      <c r="G35" s="343"/>
      <c r="H35" s="343"/>
      <c r="I35" s="343"/>
      <c r="J35" s="343"/>
      <c r="K35" s="344"/>
    </row>
    <row r="37" spans="1:11" s="1" customFormat="1" ht="16" customHeight="1">
      <c r="B37" s="112" t="s">
        <v>26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s="1" customFormat="1" ht="7" customHeight="1">
      <c r="B38" s="113"/>
      <c r="C38" s="3"/>
      <c r="D38" s="25"/>
      <c r="E38" s="25"/>
      <c r="F38" s="3"/>
    </row>
    <row r="39" spans="1:11" s="1" customFormat="1" ht="16" customHeight="1">
      <c r="B39" s="174" t="s">
        <v>47</v>
      </c>
      <c r="C39" s="115"/>
      <c r="D39" s="349" t="s">
        <v>27</v>
      </c>
      <c r="E39" s="350"/>
      <c r="F39" s="304" t="s">
        <v>5</v>
      </c>
      <c r="G39" s="304" t="s">
        <v>6</v>
      </c>
    </row>
    <row r="40" spans="1:11" s="1" customFormat="1" ht="16" customHeight="1">
      <c r="B40" s="351" t="s">
        <v>48</v>
      </c>
      <c r="C40" s="351"/>
      <c r="D40" s="169" t="s">
        <v>28</v>
      </c>
      <c r="E40" s="163" t="s">
        <v>29</v>
      </c>
      <c r="F40" s="169">
        <v>106</v>
      </c>
      <c r="G40" s="172">
        <f t="shared" ref="G40:G45" si="1">F40*25.4</f>
        <v>2692.3999999999996</v>
      </c>
    </row>
    <row r="41" spans="1:11" s="1" customFormat="1" ht="16" customHeight="1">
      <c r="B41" s="352"/>
      <c r="C41" s="352"/>
      <c r="D41" s="170" t="s">
        <v>30</v>
      </c>
      <c r="E41" s="167" t="s">
        <v>49</v>
      </c>
      <c r="F41" s="170">
        <v>140</v>
      </c>
      <c r="G41" s="173">
        <f t="shared" si="1"/>
        <v>3556</v>
      </c>
    </row>
    <row r="42" spans="1:11" s="1" customFormat="1" ht="16" customHeight="1">
      <c r="B42" s="353" t="s">
        <v>127</v>
      </c>
      <c r="C42" s="353"/>
      <c r="D42" s="171" t="s">
        <v>28</v>
      </c>
      <c r="E42" s="168" t="s">
        <v>29</v>
      </c>
      <c r="F42" s="171">
        <v>130</v>
      </c>
      <c r="G42" s="171">
        <f t="shared" si="1"/>
        <v>3302</v>
      </c>
    </row>
    <row r="43" spans="1:11" s="1" customFormat="1" ht="16" customHeight="1">
      <c r="B43" s="352"/>
      <c r="C43" s="352"/>
      <c r="D43" s="170" t="s">
        <v>30</v>
      </c>
      <c r="E43" s="167" t="s">
        <v>49</v>
      </c>
      <c r="F43" s="170">
        <v>140</v>
      </c>
      <c r="G43" s="173">
        <f t="shared" si="1"/>
        <v>3556</v>
      </c>
    </row>
    <row r="44" spans="1:11" s="1" customFormat="1" ht="16" customHeight="1">
      <c r="B44" s="353" t="s">
        <v>141</v>
      </c>
      <c r="C44" s="353"/>
      <c r="D44" s="171" t="s">
        <v>28</v>
      </c>
      <c r="E44" s="168" t="s">
        <v>29</v>
      </c>
      <c r="F44" s="171">
        <v>200</v>
      </c>
      <c r="G44" s="171">
        <f t="shared" si="1"/>
        <v>5080</v>
      </c>
    </row>
    <row r="45" spans="1:11" s="1" customFormat="1" ht="16" customHeight="1">
      <c r="B45" s="352"/>
      <c r="C45" s="352"/>
      <c r="D45" s="170" t="s">
        <v>30</v>
      </c>
      <c r="E45" s="167" t="s">
        <v>49</v>
      </c>
      <c r="F45" s="170">
        <v>200</v>
      </c>
      <c r="G45" s="173">
        <f t="shared" si="1"/>
        <v>5080</v>
      </c>
      <c r="H45" s="3"/>
    </row>
    <row r="47" spans="1:11">
      <c r="B47" s="131" t="s">
        <v>33</v>
      </c>
      <c r="C47" s="132"/>
      <c r="D47" s="132"/>
      <c r="E47" s="132"/>
      <c r="F47" s="132"/>
      <c r="G47" s="132"/>
      <c r="H47" s="132"/>
      <c r="I47" s="132"/>
      <c r="J47" s="132"/>
      <c r="K47" s="132"/>
    </row>
    <row r="48" spans="1:11">
      <c r="B48" s="64" t="s">
        <v>55</v>
      </c>
      <c r="C48" s="64"/>
      <c r="D48" s="64"/>
      <c r="E48" s="64"/>
      <c r="F48" s="64"/>
      <c r="G48" s="64"/>
      <c r="H48" s="64"/>
    </row>
    <row r="49" spans="2:11">
      <c r="B49" s="64" t="s">
        <v>52</v>
      </c>
      <c r="C49" s="64"/>
      <c r="D49" s="64"/>
      <c r="E49" s="64"/>
      <c r="F49" s="64"/>
      <c r="G49" s="64"/>
      <c r="H49" s="64"/>
    </row>
    <row r="50" spans="2:11">
      <c r="B50" s="64" t="s">
        <v>57</v>
      </c>
      <c r="C50" s="64"/>
      <c r="D50" s="64"/>
      <c r="E50" s="64"/>
      <c r="F50" s="64"/>
      <c r="G50" s="64"/>
      <c r="H50" s="64"/>
    </row>
    <row r="51" spans="2:11">
      <c r="B51" s="64"/>
      <c r="C51" s="64"/>
      <c r="D51" s="64"/>
      <c r="E51" s="64"/>
      <c r="F51" s="64"/>
      <c r="G51" s="64"/>
      <c r="H51" s="64"/>
    </row>
    <row r="52" spans="2:11">
      <c r="B52" s="131" t="s">
        <v>38</v>
      </c>
      <c r="C52" s="132"/>
      <c r="D52" s="132"/>
      <c r="E52" s="132"/>
      <c r="F52" s="132"/>
      <c r="G52" s="132"/>
      <c r="H52" s="132"/>
      <c r="I52" s="132"/>
      <c r="J52" s="132"/>
      <c r="K52" s="132"/>
    </row>
    <row r="53" spans="2:11">
      <c r="B53" s="38" t="s">
        <v>137</v>
      </c>
    </row>
    <row r="54" spans="2:11">
      <c r="B54" s="38" t="s">
        <v>40</v>
      </c>
    </row>
    <row r="56" spans="2:11">
      <c r="B56" s="65">
        <f>(+E26/2)+350</f>
        <v>1714</v>
      </c>
      <c r="C56" s="38" t="s">
        <v>41</v>
      </c>
    </row>
    <row r="57" spans="2:11">
      <c r="B57" s="65">
        <v>350</v>
      </c>
      <c r="C57" s="38" t="s">
        <v>42</v>
      </c>
    </row>
    <row r="58" spans="2:11">
      <c r="B58" s="65">
        <v>250</v>
      </c>
      <c r="C58" s="38" t="s">
        <v>23</v>
      </c>
    </row>
    <row r="59" spans="2:11">
      <c r="B59" s="66"/>
      <c r="D59" s="67"/>
    </row>
  </sheetData>
  <mergeCells count="13">
    <mergeCell ref="H31:K31"/>
    <mergeCell ref="F33:K35"/>
    <mergeCell ref="A1:K1"/>
    <mergeCell ref="A2:K2"/>
    <mergeCell ref="E29:F29"/>
    <mergeCell ref="H29:K29"/>
    <mergeCell ref="E30:F30"/>
    <mergeCell ref="H30:K30"/>
    <mergeCell ref="D39:E39"/>
    <mergeCell ref="B40:C41"/>
    <mergeCell ref="B42:C43"/>
    <mergeCell ref="B44:C45"/>
    <mergeCell ref="E31:F31"/>
  </mergeCells>
  <phoneticPr fontId="4" type="noConversion"/>
  <printOptions horizontalCentered="1" verticalCentered="1"/>
  <pageMargins left="0.39000000000000007" right="0.39000000000000007" top="0.39000000000000007" bottom="0.39000000000000007" header="0" footer="0.05"/>
  <pageSetup paperSize="9" scale="75" fitToHeight="2" orientation="portrait" horizontalDpi="4294967292" verticalDpi="4294967292"/>
  <headerFooter>
    <oddHeader>&amp;C&amp;"Calibri,Bold"&amp;14&amp;K000000Screen Excellence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68"/>
  <sheetViews>
    <sheetView showGridLines="0" workbookViewId="0">
      <selection activeCell="C30" sqref="C30"/>
    </sheetView>
  </sheetViews>
  <sheetFormatPr baseColWidth="10" defaultColWidth="10.83203125" defaultRowHeight="16"/>
  <cols>
    <col min="1" max="1" width="10" style="1" customWidth="1"/>
    <col min="2" max="16384" width="10.83203125" style="1"/>
  </cols>
  <sheetData>
    <row r="1" spans="1:11" ht="42" customHeight="1">
      <c r="A1" s="326" t="s">
        <v>58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1" s="2" customFormat="1" ht="42" customHeight="1">
      <c r="A2" s="327" t="str">
        <f>+ROUND(B29,1)&amp;""""&amp;" "&amp;E29&amp;" Aspect Ratio"</f>
        <v>100" 2.4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1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>
      <c r="A4" s="3"/>
      <c r="D4" s="3"/>
      <c r="E4" s="3"/>
      <c r="F4" s="3"/>
      <c r="G4" s="3"/>
      <c r="J4" s="3"/>
      <c r="K4" s="3"/>
    </row>
    <row r="5" spans="1:11">
      <c r="A5" s="3"/>
      <c r="D5" s="3"/>
      <c r="F5" s="3"/>
      <c r="G5" s="3"/>
      <c r="J5" s="3"/>
      <c r="K5" s="3"/>
    </row>
    <row r="6" spans="1:11">
      <c r="A6" s="3"/>
      <c r="D6" s="3"/>
      <c r="G6" s="3"/>
      <c r="J6" s="3"/>
      <c r="K6" s="3"/>
    </row>
    <row r="7" spans="1:11">
      <c r="A7" s="3"/>
      <c r="D7" s="3"/>
      <c r="E7" s="6">
        <f>+C29</f>
        <v>2540</v>
      </c>
      <c r="F7" s="3"/>
      <c r="G7" s="3"/>
      <c r="J7" s="3"/>
      <c r="K7" s="3"/>
    </row>
    <row r="8" spans="1:11">
      <c r="A8" s="3"/>
      <c r="D8" s="3"/>
      <c r="E8" s="42">
        <f>+E7/$E$34</f>
        <v>100</v>
      </c>
      <c r="F8" s="3"/>
      <c r="G8" s="3"/>
      <c r="J8" s="3"/>
      <c r="K8" s="3"/>
    </row>
    <row r="9" spans="1:11">
      <c r="A9" s="3"/>
      <c r="E9" s="3"/>
      <c r="F9" s="3"/>
      <c r="G9" s="3"/>
      <c r="J9" s="3"/>
      <c r="K9" s="3"/>
    </row>
    <row r="10" spans="1:11">
      <c r="A10" s="3"/>
      <c r="D10" s="3"/>
      <c r="E10" s="3"/>
      <c r="F10" s="3"/>
      <c r="G10" s="3"/>
      <c r="J10" s="3"/>
      <c r="K10" s="3"/>
    </row>
    <row r="11" spans="1:11">
      <c r="A11" s="3"/>
      <c r="B11" s="6">
        <f>+C30</f>
        <v>1058.3333333333335</v>
      </c>
      <c r="E11" s="3"/>
      <c r="G11" s="3"/>
      <c r="K11" s="3"/>
    </row>
    <row r="12" spans="1:11">
      <c r="A12" s="3"/>
      <c r="B12" s="42">
        <f>+B11/$E$34</f>
        <v>41.666666666666679</v>
      </c>
      <c r="E12" s="3"/>
      <c r="F12" s="5"/>
      <c r="G12" s="3"/>
      <c r="J12" s="3"/>
      <c r="K12" s="3"/>
    </row>
    <row r="13" spans="1:11">
      <c r="A13" s="3"/>
      <c r="D13" s="3"/>
      <c r="E13" s="3"/>
      <c r="F13" s="3"/>
      <c r="G13" s="3"/>
      <c r="J13" s="6">
        <f>+C32</f>
        <v>1246.3333333333335</v>
      </c>
      <c r="K13" s="3"/>
    </row>
    <row r="14" spans="1:11">
      <c r="A14" s="3"/>
      <c r="D14" s="3"/>
      <c r="E14" s="3"/>
      <c r="F14" s="186">
        <f>+C33</f>
        <v>2751.666666666667</v>
      </c>
      <c r="G14" s="3"/>
      <c r="J14" s="4">
        <f>+J13/$E$34</f>
        <v>49.068241469816279</v>
      </c>
      <c r="K14" s="3"/>
    </row>
    <row r="15" spans="1:11">
      <c r="A15" s="3"/>
      <c r="D15" s="3"/>
      <c r="E15" s="3"/>
      <c r="F15" s="185">
        <f>+F14/$E$34</f>
        <v>108.33333333333336</v>
      </c>
      <c r="G15" s="3"/>
      <c r="J15" s="3"/>
      <c r="K15" s="3"/>
    </row>
    <row r="16" spans="1:11">
      <c r="A16" s="3"/>
      <c r="D16" s="3"/>
      <c r="E16" s="3"/>
      <c r="F16" s="3"/>
      <c r="G16" s="3"/>
      <c r="J16" s="3"/>
      <c r="K16" s="3"/>
    </row>
    <row r="17" spans="1:11">
      <c r="A17" s="3"/>
      <c r="D17" s="3"/>
      <c r="E17" s="3"/>
      <c r="F17" s="3"/>
      <c r="G17" s="3"/>
      <c r="J17" s="3"/>
      <c r="K17" s="3"/>
    </row>
    <row r="18" spans="1:11">
      <c r="A18" s="3"/>
      <c r="D18" s="3"/>
      <c r="E18" s="3"/>
      <c r="F18" s="3"/>
      <c r="G18" s="3"/>
      <c r="J18" s="3"/>
      <c r="K18" s="3"/>
    </row>
    <row r="19" spans="1:11">
      <c r="A19" s="3"/>
      <c r="D19" s="3"/>
      <c r="E19" s="3"/>
      <c r="F19" s="3"/>
      <c r="G19" s="3"/>
      <c r="J19" s="3"/>
      <c r="K19" s="3"/>
    </row>
    <row r="20" spans="1:11">
      <c r="A20" s="3"/>
      <c r="D20" s="3"/>
      <c r="E20" s="3"/>
      <c r="F20" s="3"/>
      <c r="G20" s="3"/>
      <c r="J20" s="3"/>
      <c r="K20" s="3"/>
    </row>
    <row r="21" spans="1:11">
      <c r="A21" s="3"/>
      <c r="D21" s="3"/>
      <c r="E21" s="7"/>
      <c r="F21" s="3"/>
      <c r="G21" s="3"/>
      <c r="J21" s="3"/>
      <c r="K21" s="3"/>
    </row>
    <row r="22" spans="1:11">
      <c r="A22" s="3"/>
      <c r="D22" s="3"/>
      <c r="E22" s="8"/>
      <c r="F22" s="3"/>
      <c r="G22" s="3"/>
      <c r="J22" s="3"/>
      <c r="K22" s="3"/>
    </row>
    <row r="23" spans="1:11">
      <c r="A23" s="3"/>
      <c r="D23" s="3"/>
      <c r="E23" s="3"/>
      <c r="F23" s="3"/>
      <c r="G23" s="3"/>
      <c r="J23" s="3"/>
      <c r="K23" s="3"/>
    </row>
    <row r="24" spans="1:1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>
      <c r="A25" s="3"/>
      <c r="B25" s="3"/>
      <c r="C25" s="3"/>
      <c r="D25" s="3"/>
      <c r="E25" s="71">
        <f>+C31</f>
        <v>2728</v>
      </c>
      <c r="F25" s="3"/>
      <c r="G25" s="3"/>
      <c r="H25" s="3"/>
      <c r="I25" s="3"/>
      <c r="J25" s="3"/>
      <c r="K25" s="186">
        <f>+C34</f>
        <v>146.37</v>
      </c>
    </row>
    <row r="26" spans="1:11">
      <c r="A26" s="3"/>
      <c r="B26" s="3"/>
      <c r="C26" s="3"/>
      <c r="D26" s="3"/>
      <c r="E26" s="185">
        <f>+E25/$E$34</f>
        <v>107.40157480314961</v>
      </c>
      <c r="F26" s="3"/>
      <c r="G26" s="3"/>
      <c r="H26" s="3"/>
      <c r="I26" s="3"/>
      <c r="J26" s="3"/>
      <c r="K26" s="185">
        <f>+K25/$E$34</f>
        <v>5.7625984251968507</v>
      </c>
    </row>
    <row r="27" spans="1:11" ht="17" thickBot="1">
      <c r="A27" s="3"/>
      <c r="B27" s="3"/>
      <c r="C27" s="3"/>
      <c r="D27" s="3"/>
      <c r="F27" s="3"/>
      <c r="G27" s="3"/>
      <c r="H27" s="3"/>
      <c r="I27" s="3"/>
      <c r="J27" s="3"/>
    </row>
    <row r="28" spans="1:11">
      <c r="A28" s="9"/>
      <c r="B28" s="10" t="s">
        <v>5</v>
      </c>
      <c r="C28" s="11" t="s">
        <v>6</v>
      </c>
      <c r="D28" s="12" t="s">
        <v>7</v>
      </c>
      <c r="E28" s="328" t="str">
        <f>IF(C30&lt;=2800,"Enlightor NEO","Enlightor NEO-W")</f>
        <v>Enlightor NEO</v>
      </c>
      <c r="F28" s="329"/>
      <c r="G28" s="12" t="s">
        <v>8</v>
      </c>
      <c r="H28" s="330">
        <f ca="1">NOW()</f>
        <v>43377.415750578701</v>
      </c>
      <c r="I28" s="330"/>
      <c r="J28" s="330"/>
      <c r="K28" s="331"/>
    </row>
    <row r="29" spans="1:11">
      <c r="A29" s="136" t="s">
        <v>9</v>
      </c>
      <c r="B29" s="14">
        <f t="shared" ref="B29:B34" si="0">+C29/$E$34</f>
        <v>100</v>
      </c>
      <c r="C29" s="15">
        <v>2540</v>
      </c>
      <c r="D29" s="137" t="s">
        <v>10</v>
      </c>
      <c r="E29" s="332">
        <v>2.4</v>
      </c>
      <c r="F29" s="333"/>
      <c r="G29" s="16" t="s">
        <v>11</v>
      </c>
      <c r="H29" s="334"/>
      <c r="I29" s="334"/>
      <c r="J29" s="334"/>
      <c r="K29" s="335"/>
    </row>
    <row r="30" spans="1:11">
      <c r="A30" s="13" t="s">
        <v>12</v>
      </c>
      <c r="B30" s="14">
        <f t="shared" si="0"/>
        <v>41.666666666666679</v>
      </c>
      <c r="C30" s="17">
        <f>+C29/E29</f>
        <v>1058.3333333333335</v>
      </c>
      <c r="D30" s="16" t="s">
        <v>13</v>
      </c>
      <c r="E30" s="321" t="s">
        <v>14</v>
      </c>
      <c r="F30" s="322"/>
      <c r="G30" s="16" t="s">
        <v>15</v>
      </c>
      <c r="H30" s="323"/>
      <c r="I30" s="324"/>
      <c r="J30" s="324"/>
      <c r="K30" s="325"/>
    </row>
    <row r="31" spans="1:11">
      <c r="A31" s="13" t="s">
        <v>16</v>
      </c>
      <c r="B31" s="14">
        <f t="shared" si="0"/>
        <v>107.40157480314961</v>
      </c>
      <c r="C31" s="18">
        <f>+C29+(2*E33)</f>
        <v>2728</v>
      </c>
      <c r="D31" s="16" t="s">
        <v>17</v>
      </c>
      <c r="E31" s="19" t="s">
        <v>14</v>
      </c>
      <c r="F31" s="20" t="s">
        <v>18</v>
      </c>
      <c r="G31" s="3"/>
      <c r="H31" s="3"/>
      <c r="I31" s="3"/>
      <c r="J31" s="3"/>
      <c r="K31" s="21"/>
    </row>
    <row r="32" spans="1:11">
      <c r="A32" s="13" t="s">
        <v>19</v>
      </c>
      <c r="B32" s="14">
        <f t="shared" si="0"/>
        <v>49.068241469816279</v>
      </c>
      <c r="C32" s="18">
        <f>+C30+(2*E33)</f>
        <v>1246.3333333333335</v>
      </c>
      <c r="D32" s="22" t="s">
        <v>20</v>
      </c>
      <c r="E32" s="23" t="s">
        <v>14</v>
      </c>
      <c r="F32" s="24"/>
      <c r="G32" s="25"/>
      <c r="H32" s="25"/>
      <c r="I32" s="25"/>
      <c r="J32" s="25"/>
      <c r="K32" s="26"/>
    </row>
    <row r="33" spans="1:11">
      <c r="A33" s="13" t="s">
        <v>21</v>
      </c>
      <c r="B33" s="14">
        <f t="shared" si="0"/>
        <v>108.33333333333336</v>
      </c>
      <c r="C33" s="18">
        <f>SQRT((C29^2)+(C30^2))</f>
        <v>2751.666666666667</v>
      </c>
      <c r="D33" s="22" t="s">
        <v>22</v>
      </c>
      <c r="E33" s="52">
        <v>94</v>
      </c>
      <c r="F33" s="24"/>
      <c r="G33" s="25"/>
      <c r="H33" s="25"/>
      <c r="I33" s="25"/>
      <c r="J33" s="25"/>
      <c r="K33" s="26"/>
    </row>
    <row r="34" spans="1:11" ht="17" thickBot="1">
      <c r="A34" s="28" t="s">
        <v>23</v>
      </c>
      <c r="B34" s="29">
        <f t="shared" si="0"/>
        <v>5.7625984251968507</v>
      </c>
      <c r="C34" s="61">
        <f>VLOOKUP(B29,B55:D68,2)</f>
        <v>146.37</v>
      </c>
      <c r="D34" s="31" t="s">
        <v>24</v>
      </c>
      <c r="E34" s="63">
        <v>25.4</v>
      </c>
      <c r="F34" s="33"/>
      <c r="G34" s="33"/>
      <c r="H34" s="33"/>
      <c r="I34" s="33"/>
      <c r="J34" s="33"/>
      <c r="K34" s="72" t="s">
        <v>59</v>
      </c>
    </row>
    <row r="36" spans="1:11" ht="16" customHeight="1">
      <c r="B36" s="112" t="s">
        <v>26</v>
      </c>
      <c r="C36" s="115"/>
      <c r="D36" s="120"/>
      <c r="E36" s="120"/>
      <c r="F36" s="115"/>
      <c r="G36" s="115"/>
      <c r="H36" s="115"/>
      <c r="I36" s="115"/>
      <c r="J36" s="115"/>
      <c r="K36" s="115"/>
    </row>
    <row r="37" spans="1:11" ht="7" customHeight="1">
      <c r="B37" s="113"/>
      <c r="C37" s="3"/>
      <c r="D37" s="25"/>
      <c r="E37" s="25"/>
      <c r="F37" s="3"/>
    </row>
    <row r="38" spans="1:11" ht="16" customHeight="1">
      <c r="B38" s="108"/>
      <c r="C38" s="121" t="s">
        <v>27</v>
      </c>
      <c r="D38" s="121" t="s">
        <v>5</v>
      </c>
      <c r="E38" s="121" t="s">
        <v>6</v>
      </c>
    </row>
    <row r="39" spans="1:11" ht="16" customHeight="1">
      <c r="B39" s="108" t="s">
        <v>28</v>
      </c>
      <c r="C39" s="111" t="s">
        <v>29</v>
      </c>
      <c r="D39" s="110">
        <v>210</v>
      </c>
      <c r="E39" s="110">
        <f>D39*25.4</f>
        <v>5334</v>
      </c>
      <c r="F39" s="3"/>
    </row>
    <row r="40" spans="1:11" ht="16" customHeight="1">
      <c r="B40" s="108" t="s">
        <v>30</v>
      </c>
      <c r="C40" s="111" t="s">
        <v>31</v>
      </c>
      <c r="D40" s="110">
        <v>210</v>
      </c>
      <c r="E40" s="110">
        <f>D40*25.4</f>
        <v>5334</v>
      </c>
      <c r="G40" s="3" t="s">
        <v>32</v>
      </c>
    </row>
    <row r="41" spans="1:11" ht="16" customHeight="1">
      <c r="B41" s="3"/>
      <c r="C41" s="3"/>
      <c r="D41" s="3"/>
      <c r="E41" s="3"/>
      <c r="F41" s="3"/>
      <c r="G41" s="3"/>
      <c r="H41" s="3"/>
      <c r="I41" s="3"/>
      <c r="J41" s="3"/>
      <c r="K41" s="3"/>
    </row>
    <row r="42" spans="1:11" ht="16" customHeight="1">
      <c r="B42" s="107" t="s">
        <v>33</v>
      </c>
      <c r="C42" s="115"/>
      <c r="D42" s="115"/>
      <c r="E42" s="115"/>
      <c r="F42" s="115"/>
      <c r="G42" s="115"/>
      <c r="H42" s="115"/>
      <c r="I42" s="115"/>
      <c r="J42" s="115"/>
      <c r="K42" s="115"/>
    </row>
    <row r="43" spans="1:11">
      <c r="B43" s="35" t="s">
        <v>60</v>
      </c>
      <c r="C43" s="35"/>
      <c r="D43" s="35"/>
      <c r="E43" s="35"/>
      <c r="F43" s="35"/>
    </row>
    <row r="45" spans="1:11">
      <c r="B45" s="107" t="s">
        <v>61</v>
      </c>
      <c r="C45" s="115"/>
      <c r="D45" s="115"/>
      <c r="E45" s="115"/>
      <c r="F45" s="115"/>
      <c r="G45" s="115"/>
      <c r="H45" s="115"/>
      <c r="I45" s="115"/>
      <c r="J45" s="115"/>
      <c r="K45" s="115"/>
    </row>
    <row r="46" spans="1:11">
      <c r="B46" s="1" t="s">
        <v>62</v>
      </c>
    </row>
    <row r="47" spans="1:11">
      <c r="B47" s="1" t="s">
        <v>40</v>
      </c>
    </row>
    <row r="48" spans="1:11">
      <c r="B48" s="1" t="s">
        <v>63</v>
      </c>
    </row>
    <row r="49" spans="2:11">
      <c r="B49" s="65">
        <f>+F14/2+50</f>
        <v>1425.8333333333335</v>
      </c>
      <c r="C49" s="1" t="s">
        <v>41</v>
      </c>
    </row>
    <row r="50" spans="2:11">
      <c r="B50" s="65">
        <v>350</v>
      </c>
      <c r="C50" s="1" t="s">
        <v>42</v>
      </c>
    </row>
    <row r="51" spans="2:11">
      <c r="B51" s="65">
        <v>260</v>
      </c>
      <c r="C51" s="1" t="s">
        <v>43</v>
      </c>
    </row>
    <row r="52" spans="2:11">
      <c r="B52" s="65"/>
    </row>
    <row r="53" spans="2:11" hidden="1">
      <c r="B53" s="356" t="s">
        <v>64</v>
      </c>
      <c r="C53" s="356"/>
      <c r="D53" s="356"/>
      <c r="E53" s="115"/>
      <c r="F53" s="115"/>
      <c r="G53" s="120"/>
      <c r="H53" s="115"/>
      <c r="I53" s="115"/>
      <c r="J53" s="115"/>
      <c r="K53" s="115"/>
    </row>
    <row r="54" spans="2:11" hidden="1">
      <c r="B54" s="130" t="s">
        <v>65</v>
      </c>
      <c r="C54" s="130" t="s">
        <v>66</v>
      </c>
      <c r="D54" s="130" t="s">
        <v>67</v>
      </c>
      <c r="E54" s="25"/>
      <c r="F54" s="25"/>
      <c r="G54" s="25"/>
      <c r="H54" s="3"/>
      <c r="I54" s="3"/>
      <c r="J54" s="3"/>
      <c r="K54" s="3"/>
    </row>
    <row r="55" spans="2:11" hidden="1">
      <c r="B55" s="129">
        <v>70</v>
      </c>
      <c r="C55" s="124">
        <v>112.14</v>
      </c>
      <c r="D55" s="129">
        <v>13000</v>
      </c>
    </row>
    <row r="56" spans="2:11" hidden="1">
      <c r="B56" s="129">
        <v>80</v>
      </c>
      <c r="C56" s="124">
        <v>122.3</v>
      </c>
      <c r="D56" s="129">
        <v>13000</v>
      </c>
    </row>
    <row r="57" spans="2:11" hidden="1">
      <c r="B57" s="129">
        <v>90</v>
      </c>
      <c r="C57" s="124">
        <v>133.72</v>
      </c>
      <c r="D57" s="129">
        <v>13000</v>
      </c>
      <c r="I57" s="129"/>
      <c r="J57" s="124"/>
      <c r="K57" s="129"/>
    </row>
    <row r="58" spans="2:11" hidden="1">
      <c r="B58" s="129">
        <v>100</v>
      </c>
      <c r="C58" s="124">
        <v>146.37</v>
      </c>
      <c r="D58" s="129">
        <v>13000</v>
      </c>
      <c r="I58" s="129"/>
      <c r="J58" s="124"/>
      <c r="K58" s="129"/>
    </row>
    <row r="59" spans="2:11" hidden="1">
      <c r="B59" s="129">
        <v>110</v>
      </c>
      <c r="C59" s="124">
        <v>149.57</v>
      </c>
      <c r="D59" s="129">
        <v>15000</v>
      </c>
      <c r="I59" s="129"/>
      <c r="J59" s="124"/>
      <c r="K59" s="129"/>
    </row>
    <row r="60" spans="2:11" hidden="1">
      <c r="B60" s="129">
        <v>120</v>
      </c>
      <c r="C60" s="124">
        <v>162.74</v>
      </c>
      <c r="D60" s="129">
        <v>15000</v>
      </c>
      <c r="I60" s="129"/>
      <c r="J60" s="124"/>
      <c r="K60" s="129"/>
    </row>
    <row r="61" spans="2:11" hidden="1">
      <c r="B61" s="129">
        <v>130</v>
      </c>
      <c r="C61" s="124">
        <v>176.96</v>
      </c>
      <c r="D61" s="129">
        <v>15000</v>
      </c>
      <c r="I61" s="129"/>
      <c r="J61" s="124"/>
      <c r="K61" s="129"/>
    </row>
    <row r="62" spans="2:11" hidden="1">
      <c r="B62" s="129">
        <v>140</v>
      </c>
      <c r="C62" s="124">
        <v>178.57</v>
      </c>
      <c r="D62" s="129">
        <v>17000</v>
      </c>
    </row>
    <row r="63" spans="2:11" hidden="1">
      <c r="B63" s="129">
        <v>150</v>
      </c>
      <c r="C63" s="124">
        <v>193.02</v>
      </c>
      <c r="D63" s="129">
        <v>17000</v>
      </c>
      <c r="H63" s="35"/>
    </row>
    <row r="64" spans="2:11" hidden="1">
      <c r="B64" s="129">
        <v>160</v>
      </c>
      <c r="C64" s="124">
        <v>208.43</v>
      </c>
      <c r="D64" s="129">
        <v>17000</v>
      </c>
      <c r="H64" s="35"/>
    </row>
    <row r="65" spans="2:4" hidden="1">
      <c r="B65" s="129">
        <v>170</v>
      </c>
      <c r="C65" s="124">
        <v>208.97</v>
      </c>
      <c r="D65" s="129">
        <v>19000</v>
      </c>
    </row>
    <row r="66" spans="2:4" hidden="1">
      <c r="B66" s="129">
        <v>180</v>
      </c>
      <c r="C66" s="124">
        <v>224.43</v>
      </c>
      <c r="D66" s="129">
        <v>19000</v>
      </c>
    </row>
    <row r="67" spans="2:4" hidden="1">
      <c r="B67" s="129">
        <v>190</v>
      </c>
      <c r="C67" s="124">
        <v>235</v>
      </c>
      <c r="D67" s="129">
        <v>19000</v>
      </c>
    </row>
    <row r="68" spans="2:4" hidden="1">
      <c r="B68" s="129">
        <v>200</v>
      </c>
      <c r="C68" s="124">
        <v>251</v>
      </c>
      <c r="D68" s="129">
        <v>19000</v>
      </c>
    </row>
  </sheetData>
  <mergeCells count="9">
    <mergeCell ref="B53:D53"/>
    <mergeCell ref="E30:F30"/>
    <mergeCell ref="H30:K30"/>
    <mergeCell ref="A1:K1"/>
    <mergeCell ref="A2:K2"/>
    <mergeCell ref="E28:F28"/>
    <mergeCell ref="H28:K28"/>
    <mergeCell ref="E29:F29"/>
    <mergeCell ref="H29:K29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75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59"/>
  <sheetViews>
    <sheetView showGridLines="0" workbookViewId="0">
      <selection activeCell="C31" sqref="C31"/>
    </sheetView>
  </sheetViews>
  <sheetFormatPr baseColWidth="10" defaultColWidth="10.83203125" defaultRowHeight="16"/>
  <cols>
    <col min="1" max="1" width="10" style="1" customWidth="1"/>
    <col min="2" max="2" width="11.33203125" style="1" bestFit="1" customWidth="1"/>
    <col min="3" max="3" width="10.83203125" style="1"/>
    <col min="4" max="4" width="14.6640625" style="1" bestFit="1" customWidth="1"/>
    <col min="5" max="11" width="10.83203125" style="1"/>
    <col min="12" max="12" width="6.6640625" style="1" customWidth="1"/>
    <col min="13" max="16384" width="10.83203125" style="1"/>
  </cols>
  <sheetData>
    <row r="1" spans="1:12" ht="24" customHeight="1">
      <c r="A1" s="326" t="s">
        <v>68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2" s="88" customFormat="1" ht="24" customHeight="1">
      <c r="A2" s="327" t="str">
        <f>+ROUND(B30,1)&amp;""""&amp;" "&amp;E30&amp;" Aspect Ratio"</f>
        <v>100" 1.78 Aspect Ratio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</row>
    <row r="3" spans="1:12" s="88" customFormat="1" ht="24" customHeight="1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1">
        <f>+C35</f>
        <v>147</v>
      </c>
      <c r="L3" s="142"/>
    </row>
    <row r="4" spans="1:12" s="2" customFormat="1" ht="16" customHeight="1">
      <c r="A4" s="143"/>
      <c r="B4" s="143"/>
      <c r="C4" s="143"/>
      <c r="D4" s="143"/>
      <c r="E4" s="144">
        <f>E31</f>
        <v>2820</v>
      </c>
      <c r="F4" s="145">
        <f>+E4/$E$35</f>
        <v>111.0236220472441</v>
      </c>
      <c r="G4" s="143"/>
      <c r="H4" s="143"/>
      <c r="I4" s="143"/>
      <c r="J4" s="143"/>
      <c r="K4" s="146">
        <f>+K3/$E$35</f>
        <v>5.78740157480315</v>
      </c>
      <c r="L4" s="147"/>
    </row>
    <row r="5" spans="1:12">
      <c r="A5" s="148"/>
      <c r="B5" s="20"/>
      <c r="C5" s="20"/>
      <c r="D5" s="20"/>
      <c r="E5" s="20"/>
      <c r="F5" s="20"/>
      <c r="G5" s="20"/>
      <c r="H5" s="20"/>
      <c r="I5" s="20"/>
      <c r="J5" s="20"/>
      <c r="K5" s="148"/>
      <c r="L5" s="148"/>
    </row>
    <row r="6" spans="1:12">
      <c r="A6" s="148"/>
      <c r="B6" s="20"/>
      <c r="C6" s="20"/>
      <c r="D6" s="20"/>
      <c r="E6" s="20"/>
      <c r="F6" s="20"/>
      <c r="G6" s="20"/>
      <c r="H6" s="20"/>
      <c r="I6" s="20"/>
      <c r="J6" s="149">
        <f>+F31</f>
        <v>145</v>
      </c>
      <c r="K6" s="20"/>
      <c r="L6" s="148"/>
    </row>
    <row r="7" spans="1:12">
      <c r="A7" s="148"/>
      <c r="B7" s="20"/>
      <c r="C7" s="20"/>
      <c r="D7" s="20"/>
      <c r="E7" s="20"/>
      <c r="F7" s="20"/>
      <c r="G7" s="20"/>
      <c r="H7" s="20"/>
      <c r="I7" s="20"/>
      <c r="J7" s="150">
        <f>+J6/E35</f>
        <v>5.7086614173228352</v>
      </c>
      <c r="K7" s="20"/>
      <c r="L7" s="148"/>
    </row>
    <row r="8" spans="1:12">
      <c r="A8" s="151">
        <f>+E32</f>
        <v>500</v>
      </c>
      <c r="B8" s="20"/>
      <c r="C8" s="20"/>
      <c r="D8" s="20"/>
      <c r="E8" s="20"/>
      <c r="F8" s="20"/>
      <c r="G8" s="20"/>
      <c r="H8" s="20"/>
      <c r="I8" s="20"/>
      <c r="J8" s="148"/>
      <c r="K8" s="20"/>
      <c r="L8" s="148"/>
    </row>
    <row r="9" spans="1:12">
      <c r="A9" s="152">
        <f>+A8/E35</f>
        <v>19.685039370078741</v>
      </c>
      <c r="B9" s="20"/>
      <c r="C9" s="20"/>
      <c r="D9" s="20"/>
      <c r="E9" s="20"/>
      <c r="F9" s="20"/>
      <c r="G9" s="20"/>
      <c r="H9" s="20"/>
      <c r="I9" s="20"/>
      <c r="J9" s="148"/>
      <c r="K9" s="20"/>
      <c r="L9" s="148"/>
    </row>
    <row r="10" spans="1:12">
      <c r="A10" s="14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148"/>
    </row>
    <row r="11" spans="1:12">
      <c r="A11" s="148"/>
      <c r="B11" s="20"/>
      <c r="C11" s="20"/>
      <c r="D11" s="148"/>
      <c r="E11" s="148"/>
      <c r="F11" s="20"/>
      <c r="G11" s="20"/>
      <c r="H11" s="20"/>
      <c r="I11" s="20"/>
      <c r="K11" s="20"/>
      <c r="L11" s="148"/>
    </row>
    <row r="12" spans="1:12">
      <c r="A12" s="20"/>
      <c r="B12" s="20"/>
      <c r="C12" s="20"/>
      <c r="D12" s="20"/>
      <c r="F12" s="20"/>
      <c r="G12" s="20"/>
      <c r="H12" s="20"/>
      <c r="I12" s="20"/>
      <c r="K12" s="20"/>
      <c r="L12" s="148"/>
    </row>
    <row r="13" spans="1:12">
      <c r="B13" s="20"/>
      <c r="C13" s="20"/>
      <c r="D13" s="148"/>
      <c r="F13" s="148"/>
      <c r="G13" s="20"/>
      <c r="H13" s="20"/>
      <c r="I13" s="20"/>
      <c r="J13" s="148"/>
      <c r="K13" s="20"/>
      <c r="L13" s="148"/>
    </row>
    <row r="14" spans="1:12">
      <c r="B14" s="20"/>
      <c r="C14" s="20"/>
      <c r="D14" s="148"/>
      <c r="E14" s="299">
        <f>+C30</f>
        <v>2540</v>
      </c>
      <c r="F14" s="20"/>
      <c r="G14" s="20"/>
      <c r="H14" s="20"/>
      <c r="I14" s="20"/>
      <c r="J14" s="20"/>
      <c r="K14" s="20"/>
      <c r="L14" s="148"/>
    </row>
    <row r="15" spans="1:12">
      <c r="A15" s="20"/>
      <c r="B15" s="20"/>
      <c r="C15" s="20"/>
      <c r="D15" s="148"/>
      <c r="E15" s="157">
        <f>+E14/$E$35</f>
        <v>100</v>
      </c>
      <c r="F15" s="20"/>
      <c r="G15" s="20"/>
      <c r="H15" s="20"/>
      <c r="I15" s="20"/>
      <c r="J15" s="154">
        <f>+C33</f>
        <v>2161.9662921348317</v>
      </c>
      <c r="K15" s="20"/>
      <c r="L15" s="155">
        <f>E21+A8+A24</f>
        <v>2016.9662921348315</v>
      </c>
    </row>
    <row r="16" spans="1:12">
      <c r="B16" s="20"/>
      <c r="D16" s="148"/>
      <c r="E16" s="20"/>
      <c r="F16" s="148"/>
      <c r="G16" s="20"/>
      <c r="H16" s="20"/>
      <c r="I16" s="20"/>
      <c r="J16" s="156">
        <f>+J15/$E$35</f>
        <v>85.116783154914643</v>
      </c>
      <c r="K16" s="20"/>
      <c r="L16" s="157">
        <f>+L15/$E$35</f>
        <v>79.408121737591799</v>
      </c>
    </row>
    <row r="17" spans="1:12">
      <c r="B17" s="20"/>
      <c r="D17" s="20"/>
      <c r="E17" s="20"/>
      <c r="G17" s="299">
        <f>+C34</f>
        <v>2913.3885423830839</v>
      </c>
      <c r="H17" s="20"/>
      <c r="I17" s="20"/>
      <c r="J17" s="20"/>
      <c r="K17" s="20"/>
      <c r="L17" s="293"/>
    </row>
    <row r="18" spans="1:12">
      <c r="A18" s="20"/>
      <c r="B18" s="20"/>
      <c r="C18" s="20"/>
      <c r="D18" s="20"/>
      <c r="E18" s="20"/>
      <c r="G18" s="157">
        <f>+G17/$E$35</f>
        <v>114.70033631429465</v>
      </c>
      <c r="H18" s="20"/>
      <c r="I18" s="20"/>
      <c r="J18" s="20"/>
      <c r="K18" s="20"/>
      <c r="L18" s="148"/>
    </row>
    <row r="19" spans="1:12">
      <c r="A19" s="20"/>
      <c r="B19" s="20"/>
      <c r="C19" s="20"/>
      <c r="D19" s="20"/>
      <c r="E19" s="20"/>
      <c r="G19" s="20"/>
      <c r="H19" s="20"/>
      <c r="I19" s="20"/>
      <c r="J19" s="20"/>
      <c r="K19" s="20"/>
      <c r="L19" s="148"/>
    </row>
    <row r="20" spans="1:12">
      <c r="A20" s="20"/>
      <c r="B20" s="20"/>
      <c r="C20" s="20"/>
      <c r="D20" s="20"/>
      <c r="F20" s="20"/>
      <c r="G20" s="20"/>
      <c r="H20" s="20"/>
      <c r="I20" s="20"/>
      <c r="J20" s="20"/>
      <c r="K20" s="20"/>
      <c r="L20" s="148"/>
    </row>
    <row r="21" spans="1:12">
      <c r="A21" s="20"/>
      <c r="B21" s="20"/>
      <c r="C21" s="20"/>
      <c r="D21" s="20"/>
      <c r="E21" s="299">
        <f>+C31</f>
        <v>1426.9662921348315</v>
      </c>
      <c r="F21" s="20"/>
      <c r="G21" s="20"/>
      <c r="H21" s="20"/>
      <c r="I21" s="20"/>
      <c r="J21" s="20"/>
      <c r="K21" s="20"/>
      <c r="L21" s="148"/>
    </row>
    <row r="22" spans="1:12">
      <c r="B22" s="20"/>
      <c r="C22" s="20"/>
      <c r="D22" s="20"/>
      <c r="E22" s="157">
        <f>+E21/$E$35</f>
        <v>56.17977528089888</v>
      </c>
      <c r="F22" s="20"/>
      <c r="G22" s="20"/>
      <c r="H22" s="20"/>
      <c r="I22" s="20"/>
      <c r="J22" s="20"/>
      <c r="K22" s="20"/>
      <c r="L22" s="148"/>
    </row>
    <row r="23" spans="1:12">
      <c r="B23" s="20"/>
      <c r="C23" s="20"/>
      <c r="D23" s="20"/>
      <c r="E23" s="158"/>
      <c r="F23" s="20"/>
      <c r="G23" s="20"/>
      <c r="H23" s="20"/>
      <c r="I23" s="20"/>
      <c r="J23" s="20"/>
      <c r="K23" s="20"/>
      <c r="L23" s="148"/>
    </row>
    <row r="24" spans="1:12">
      <c r="A24" s="149">
        <v>90</v>
      </c>
      <c r="B24" s="20"/>
      <c r="C24" s="20"/>
      <c r="D24" s="20"/>
      <c r="E24" s="159"/>
      <c r="F24" s="20"/>
      <c r="G24" s="20"/>
      <c r="H24" s="20"/>
      <c r="I24" s="20"/>
      <c r="J24" s="20"/>
      <c r="K24" s="20"/>
      <c r="L24" s="148"/>
    </row>
    <row r="25" spans="1:12">
      <c r="A25" s="160">
        <f>A24/E35</f>
        <v>3.5433070866141736</v>
      </c>
      <c r="B25" s="300"/>
      <c r="C25" s="301"/>
      <c r="D25" s="300"/>
      <c r="E25" s="20"/>
      <c r="F25" s="300"/>
      <c r="G25" s="20"/>
      <c r="H25" s="20"/>
      <c r="I25" s="20"/>
      <c r="J25" s="20"/>
      <c r="K25" s="20"/>
      <c r="L25" s="148"/>
    </row>
    <row r="26" spans="1:12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148"/>
    </row>
    <row r="27" spans="1:12">
      <c r="B27" s="20"/>
      <c r="C27" s="20"/>
      <c r="E27" s="302">
        <f>E31-60</f>
        <v>2760</v>
      </c>
      <c r="F27" s="145">
        <f>+E27/$E$35</f>
        <v>108.66141732283465</v>
      </c>
      <c r="G27" s="20"/>
      <c r="H27" s="20"/>
      <c r="I27" s="20"/>
      <c r="J27" s="20"/>
      <c r="K27" s="148"/>
      <c r="L27" s="148"/>
    </row>
    <row r="28" spans="1:12" ht="17" thickBot="1">
      <c r="A28" s="20"/>
      <c r="B28" s="20"/>
      <c r="C28" s="20"/>
      <c r="D28" s="20"/>
      <c r="G28" s="20"/>
      <c r="H28" s="20"/>
      <c r="I28" s="20"/>
      <c r="J28" s="20"/>
      <c r="K28" s="148"/>
      <c r="L28" s="148"/>
    </row>
    <row r="29" spans="1:12">
      <c r="A29" s="9"/>
      <c r="B29" s="10" t="s">
        <v>5</v>
      </c>
      <c r="C29" s="11" t="s">
        <v>6</v>
      </c>
      <c r="D29" s="12" t="s">
        <v>7</v>
      </c>
      <c r="E29" s="328" t="s">
        <v>69</v>
      </c>
      <c r="F29" s="329"/>
      <c r="G29" s="12" t="s">
        <v>8</v>
      </c>
      <c r="H29" s="330">
        <f ca="1">NOW()</f>
        <v>43377.415750578701</v>
      </c>
      <c r="I29" s="330"/>
      <c r="J29" s="330"/>
      <c r="K29" s="331"/>
    </row>
    <row r="30" spans="1:12">
      <c r="A30" s="136" t="s">
        <v>9</v>
      </c>
      <c r="B30" s="101">
        <f>C30/E35</f>
        <v>100</v>
      </c>
      <c r="C30" s="86">
        <v>2540</v>
      </c>
      <c r="D30" s="137" t="s">
        <v>10</v>
      </c>
      <c r="E30" s="332">
        <v>1.78</v>
      </c>
      <c r="F30" s="333"/>
      <c r="G30" s="16" t="s">
        <v>11</v>
      </c>
      <c r="H30" s="334"/>
      <c r="I30" s="334"/>
      <c r="J30" s="334"/>
      <c r="K30" s="335"/>
    </row>
    <row r="31" spans="1:12">
      <c r="A31" s="13" t="s">
        <v>12</v>
      </c>
      <c r="B31" s="101">
        <f>+C31/$E$35</f>
        <v>56.17977528089888</v>
      </c>
      <c r="C31" s="52">
        <f>+C30/E30</f>
        <v>1426.9662921348315</v>
      </c>
      <c r="D31" s="16" t="s">
        <v>70</v>
      </c>
      <c r="E31" s="17">
        <f>C30+280</f>
        <v>2820</v>
      </c>
      <c r="F31" s="17">
        <v>145</v>
      </c>
      <c r="G31" s="16" t="s">
        <v>15</v>
      </c>
      <c r="H31" s="323"/>
      <c r="I31" s="324"/>
      <c r="J31" s="324"/>
      <c r="K31" s="325"/>
    </row>
    <row r="32" spans="1:12">
      <c r="A32" s="13" t="s">
        <v>16</v>
      </c>
      <c r="B32" s="101">
        <f>+C32/$E$35</f>
        <v>111.0236220472441</v>
      </c>
      <c r="C32" s="53">
        <f>E31</f>
        <v>2820</v>
      </c>
      <c r="D32" s="16" t="s">
        <v>71</v>
      </c>
      <c r="E32" s="17">
        <v>500</v>
      </c>
      <c r="F32" s="183" t="s">
        <v>151</v>
      </c>
      <c r="G32" s="103"/>
      <c r="I32" s="3"/>
      <c r="J32" s="3"/>
      <c r="K32" s="21"/>
    </row>
    <row r="33" spans="1:11">
      <c r="A33" s="13" t="s">
        <v>19</v>
      </c>
      <c r="B33" s="101">
        <f>+C33/$E$35</f>
        <v>85.116783154914643</v>
      </c>
      <c r="C33" s="53">
        <f>+C31+J6+A8+90</f>
        <v>2161.9662921348317</v>
      </c>
      <c r="D33" s="22" t="s">
        <v>20</v>
      </c>
      <c r="E33" s="104" t="s">
        <v>72</v>
      </c>
      <c r="F33" s="24"/>
      <c r="G33" s="25"/>
      <c r="H33" s="25"/>
      <c r="I33" s="25"/>
      <c r="J33" s="25"/>
      <c r="K33" s="26"/>
    </row>
    <row r="34" spans="1:11">
      <c r="A34" s="13" t="s">
        <v>21</v>
      </c>
      <c r="B34" s="101">
        <f>+C34/$E$35</f>
        <v>114.70033631429465</v>
      </c>
      <c r="C34" s="53">
        <f>SQRT((C30^2)+(C31^2))</f>
        <v>2913.3885423830839</v>
      </c>
      <c r="D34" s="22" t="s">
        <v>73</v>
      </c>
      <c r="E34" s="52">
        <f>C32</f>
        <v>2820</v>
      </c>
      <c r="F34" s="24"/>
      <c r="G34" s="25"/>
      <c r="H34" s="25"/>
      <c r="I34" s="25"/>
      <c r="J34" s="25"/>
      <c r="K34" s="26"/>
    </row>
    <row r="35" spans="1:11" ht="17" thickBot="1">
      <c r="A35" s="28" t="s">
        <v>23</v>
      </c>
      <c r="B35" s="105">
        <f>+C35/$E$35</f>
        <v>5.78740157480315</v>
      </c>
      <c r="C35" s="61">
        <v>147</v>
      </c>
      <c r="D35" s="31" t="s">
        <v>24</v>
      </c>
      <c r="E35" s="63">
        <v>25.4</v>
      </c>
      <c r="F35" s="33"/>
      <c r="G35" s="33"/>
      <c r="H35" s="33"/>
      <c r="I35" s="33"/>
      <c r="J35" s="33"/>
      <c r="K35" s="72" t="s">
        <v>59</v>
      </c>
    </row>
    <row r="37" spans="1:11" ht="16" customHeight="1">
      <c r="B37" s="112" t="s">
        <v>26</v>
      </c>
      <c r="C37" s="115"/>
      <c r="D37" s="120"/>
      <c r="E37" s="120"/>
      <c r="F37" s="115"/>
      <c r="G37" s="115"/>
      <c r="H37" s="115"/>
      <c r="I37" s="115"/>
      <c r="J37" s="115"/>
      <c r="K37" s="115"/>
    </row>
    <row r="38" spans="1:11" ht="7" customHeight="1">
      <c r="B38" s="113"/>
      <c r="C38" s="3"/>
      <c r="D38" s="25"/>
      <c r="E38" s="25"/>
      <c r="F38" s="3"/>
    </row>
    <row r="39" spans="1:11" ht="16" customHeight="1">
      <c r="B39" s="108"/>
      <c r="C39" s="121" t="s">
        <v>27</v>
      </c>
      <c r="D39" s="121" t="s">
        <v>5</v>
      </c>
      <c r="E39" s="121" t="s">
        <v>6</v>
      </c>
    </row>
    <row r="40" spans="1:11" ht="16" customHeight="1">
      <c r="B40" s="108" t="s">
        <v>28</v>
      </c>
      <c r="C40" s="111" t="s">
        <v>29</v>
      </c>
      <c r="D40" s="110">
        <v>160</v>
      </c>
      <c r="E40" s="110">
        <f>D40*25.4</f>
        <v>4064</v>
      </c>
      <c r="F40" s="3"/>
    </row>
    <row r="41" spans="1:11" ht="16" customHeight="1">
      <c r="B41" s="108" t="s">
        <v>30</v>
      </c>
      <c r="C41" s="111" t="s">
        <v>31</v>
      </c>
      <c r="D41" s="110">
        <v>160</v>
      </c>
      <c r="E41" s="110">
        <f>D41*25.4</f>
        <v>4064</v>
      </c>
      <c r="G41" s="3" t="s">
        <v>32</v>
      </c>
    </row>
    <row r="42" spans="1:11" ht="16" customHeight="1">
      <c r="B42" s="108"/>
      <c r="C42" s="111"/>
      <c r="D42" s="110"/>
      <c r="E42" s="110"/>
    </row>
    <row r="43" spans="1:11">
      <c r="B43" s="107" t="s">
        <v>33</v>
      </c>
      <c r="C43" s="115"/>
      <c r="D43" s="115"/>
      <c r="E43" s="115"/>
      <c r="F43" s="115"/>
      <c r="G43" s="115"/>
      <c r="H43" s="115"/>
      <c r="I43" s="115"/>
      <c r="J43" s="115"/>
      <c r="K43" s="115"/>
    </row>
    <row r="44" spans="1:11">
      <c r="B44" s="35" t="s">
        <v>75</v>
      </c>
      <c r="C44" s="35"/>
      <c r="D44" s="35"/>
      <c r="E44" s="35"/>
      <c r="F44" s="35"/>
      <c r="G44" s="35"/>
      <c r="H44" s="35"/>
    </row>
    <row r="45" spans="1:11">
      <c r="B45" s="35" t="s">
        <v>76</v>
      </c>
      <c r="C45" s="35"/>
      <c r="D45" s="35"/>
      <c r="E45" s="35"/>
      <c r="F45" s="35"/>
      <c r="G45" s="35"/>
      <c r="H45" s="35"/>
    </row>
    <row r="46" spans="1:11">
      <c r="B46" s="35"/>
      <c r="C46" s="35"/>
      <c r="D46" s="35"/>
      <c r="E46" s="35"/>
      <c r="F46" s="35"/>
      <c r="G46" s="35"/>
      <c r="H46" s="35"/>
    </row>
    <row r="47" spans="1:11">
      <c r="B47" s="107" t="s">
        <v>38</v>
      </c>
      <c r="C47" s="115"/>
      <c r="D47" s="115"/>
      <c r="E47" s="115"/>
      <c r="F47" s="115"/>
      <c r="G47" s="115"/>
      <c r="H47" s="115"/>
      <c r="I47" s="115"/>
      <c r="J47" s="115"/>
      <c r="K47" s="115"/>
    </row>
    <row r="48" spans="1:11">
      <c r="B48" s="1" t="s">
        <v>77</v>
      </c>
    </row>
    <row r="49" spans="2:3" ht="7" customHeight="1"/>
    <row r="50" spans="2:3">
      <c r="B50" s="1" t="s">
        <v>78</v>
      </c>
    </row>
    <row r="51" spans="2:3">
      <c r="B51" s="65">
        <f>+E31+100</f>
        <v>2920</v>
      </c>
      <c r="C51" s="1" t="s">
        <v>41</v>
      </c>
    </row>
    <row r="52" spans="2:3">
      <c r="B52" s="36">
        <v>350</v>
      </c>
      <c r="C52" s="1" t="s">
        <v>42</v>
      </c>
    </row>
    <row r="53" spans="2:3">
      <c r="B53" s="36">
        <v>250</v>
      </c>
      <c r="C53" s="1" t="s">
        <v>23</v>
      </c>
    </row>
    <row r="54" spans="2:3" ht="38" customHeight="1">
      <c r="B54" s="36"/>
    </row>
    <row r="55" spans="2:3" ht="38" customHeight="1">
      <c r="B55" s="36"/>
    </row>
    <row r="56" spans="2:3" ht="38" customHeight="1">
      <c r="B56" s="36"/>
    </row>
    <row r="57" spans="2:3" ht="38" customHeight="1">
      <c r="B57" s="36"/>
    </row>
    <row r="58" spans="2:3" ht="38" customHeight="1">
      <c r="B58" s="36"/>
    </row>
    <row r="59" spans="2:3">
      <c r="B59" s="37"/>
    </row>
  </sheetData>
  <mergeCells count="7">
    <mergeCell ref="H31:K31"/>
    <mergeCell ref="A1:K1"/>
    <mergeCell ref="A2:K2"/>
    <mergeCell ref="E29:F29"/>
    <mergeCell ref="H29:K29"/>
    <mergeCell ref="E30:F30"/>
    <mergeCell ref="H30:K30"/>
  </mergeCells>
  <phoneticPr fontId="4" type="noConversion"/>
  <printOptions horizontalCentered="1" verticalCentered="1"/>
  <pageMargins left="0.39000000000000007" right="0.39000000000000007" top="0.39000000000000007" bottom="0.39000000000000007" header="0.2" footer="0.2"/>
  <pageSetup paperSize="9" scale="69" fitToHeight="0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21</vt:i4>
      </vt:variant>
    </vt:vector>
  </HeadingPairs>
  <TitlesOfParts>
    <vt:vector size="43" baseType="lpstr">
      <vt:lpstr>Instructions</vt:lpstr>
      <vt:lpstr>FullScreen</vt:lpstr>
      <vt:lpstr>Slim</vt:lpstr>
      <vt:lpstr>Contrast</vt:lpstr>
      <vt:lpstr>Contrast Advanced</vt:lpstr>
      <vt:lpstr>Reference</vt:lpstr>
      <vt:lpstr>Reference Advanced</vt:lpstr>
      <vt:lpstr>VistaCurve</vt:lpstr>
      <vt:lpstr>RST</vt:lpstr>
      <vt:lpstr>RST In Ceiling</vt:lpstr>
      <vt:lpstr>MediaTime</vt:lpstr>
      <vt:lpstr>RM2T</vt:lpstr>
      <vt:lpstr>MFR HD</vt:lpstr>
      <vt:lpstr>MFR WS</vt:lpstr>
      <vt:lpstr>TAM 1</vt:lpstr>
      <vt:lpstr>TAM TB</vt:lpstr>
      <vt:lpstr>TAM2-L</vt:lpstr>
      <vt:lpstr>TAM FC</vt:lpstr>
      <vt:lpstr>Absolute</vt:lpstr>
      <vt:lpstr>TAM-4</vt:lpstr>
      <vt:lpstr>Movie Partner Bordered</vt:lpstr>
      <vt:lpstr>Movie Partner Borderless</vt:lpstr>
      <vt:lpstr>Absolute!Print_Area</vt:lpstr>
      <vt:lpstr>Contrast!Print_Area</vt:lpstr>
      <vt:lpstr>'Contrast Advanced'!Print_Area</vt:lpstr>
      <vt:lpstr>FullScreen!Print_Area</vt:lpstr>
      <vt:lpstr>MediaTime!Print_Area</vt:lpstr>
      <vt:lpstr>'MFR HD'!Print_Area</vt:lpstr>
      <vt:lpstr>'MFR WS'!Print_Area</vt:lpstr>
      <vt:lpstr>'Movie Partner Bordered'!Print_Area</vt:lpstr>
      <vt:lpstr>'Movie Partner Borderless'!Print_Area</vt:lpstr>
      <vt:lpstr>Reference!Print_Area</vt:lpstr>
      <vt:lpstr>'Reference Advanced'!Print_Area</vt:lpstr>
      <vt:lpstr>RM2T!Print_Area</vt:lpstr>
      <vt:lpstr>RST!Print_Area</vt:lpstr>
      <vt:lpstr>'RST In Ceiling'!Print_Area</vt:lpstr>
      <vt:lpstr>Slim!Print_Area</vt:lpstr>
      <vt:lpstr>'TAM 1'!Print_Area</vt:lpstr>
      <vt:lpstr>'TAM FC'!Print_Area</vt:lpstr>
      <vt:lpstr>'TAM TB'!Print_Area</vt:lpstr>
      <vt:lpstr>'TAM-4'!Print_Area</vt:lpstr>
      <vt:lpstr>'TAM2-L'!Print_Area</vt:lpstr>
      <vt:lpstr>VistaCurve!Print_Area</vt:lpstr>
    </vt:vector>
  </TitlesOfParts>
  <Manager/>
  <Company>Screen Excellence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McLain</dc:creator>
  <cp:keywords/>
  <dc:description/>
  <cp:lastModifiedBy>Jaro Pollanen</cp:lastModifiedBy>
  <cp:revision/>
  <cp:lastPrinted>2018-10-04T08:59:09Z</cp:lastPrinted>
  <dcterms:created xsi:type="dcterms:W3CDTF">2014-06-20T15:51:12Z</dcterms:created>
  <dcterms:modified xsi:type="dcterms:W3CDTF">2018-10-04T08:59:09Z</dcterms:modified>
  <cp:category/>
  <cp:contentStatus/>
</cp:coreProperties>
</file>